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52346\Documents\USDA\RD Task Order 26-27- Infrastructure Support-Vcentra\RD Task Order 27 - LAPAS\"/>
    </mc:Choice>
  </mc:AlternateContent>
  <bookViews>
    <workbookView xWindow="0" yWindow="0" windowWidth="23976" windowHeight="9660" tabRatio="790"/>
  </bookViews>
  <sheets>
    <sheet name="Table of Contents" sheetId="1" r:id="rId1"/>
    <sheet name="Definitions" sheetId="2" r:id="rId2"/>
    <sheet name="Notes" sheetId="16" r:id="rId3"/>
    <sheet name="Table 1" sheetId="17" r:id="rId4"/>
    <sheet name="Table 2" sheetId="18" r:id="rId5"/>
    <sheet name="Tables 3 &amp; 3a" sheetId="19" r:id="rId6"/>
    <sheet name="Tables 4 &amp; 4a" sheetId="20" r:id="rId7"/>
    <sheet name="Tables 5 &amp; 5a" sheetId="21" r:id="rId8"/>
    <sheet name="Tables 6 &amp; 6a" sheetId="22" r:id="rId9"/>
    <sheet name="Tables 7 &amp; 7a" sheetId="23" r:id="rId10"/>
  </sheets>
  <definedNames>
    <definedName name="_xlnm.Print_Titles" localSheetId="5">'Tables 3 &amp; 3a'!$A:$A</definedName>
    <definedName name="_xlnm.Print_Titles" localSheetId="6">'Tables 4 &amp; 4a'!$A:$A</definedName>
    <definedName name="_xlnm.Print_Titles" localSheetId="7">'Tables 5 &amp; 5a'!$A:$A</definedName>
    <definedName name="_xlnm.Print_Titles" localSheetId="9">'Tables 7 &amp; 7a'!$A:$A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23" l="1"/>
  <c r="D38" i="23"/>
  <c r="D37" i="23"/>
  <c r="C37" i="23"/>
  <c r="B37" i="23"/>
  <c r="E35" i="23"/>
  <c r="D35" i="23"/>
  <c r="E34" i="23"/>
  <c r="D34" i="23"/>
  <c r="E33" i="23"/>
  <c r="D33" i="23"/>
  <c r="E32" i="23"/>
  <c r="D32" i="23"/>
  <c r="C32" i="23"/>
  <c r="B32" i="23"/>
  <c r="E31" i="23"/>
  <c r="D31" i="23"/>
  <c r="C31" i="23"/>
  <c r="E30" i="23"/>
  <c r="D30" i="23"/>
  <c r="C30" i="23"/>
  <c r="B30" i="23"/>
  <c r="D23" i="23"/>
  <c r="C22" i="23"/>
  <c r="B20" i="23"/>
  <c r="E18" i="23"/>
  <c r="E20" i="23" s="1"/>
  <c r="E24" i="23" s="1"/>
  <c r="D17" i="23"/>
  <c r="D20" i="23" s="1"/>
  <c r="C17" i="23"/>
  <c r="C20" i="23" s="1"/>
  <c r="C39" i="23" s="1"/>
  <c r="E11" i="23"/>
  <c r="E13" i="23" s="1"/>
  <c r="D11" i="23"/>
  <c r="D13" i="23" s="1"/>
  <c r="C11" i="23"/>
  <c r="C33" i="23" s="1"/>
  <c r="B11" i="23"/>
  <c r="B13" i="23" s="1"/>
  <c r="E8" i="23"/>
  <c r="D8" i="23"/>
  <c r="C8" i="23"/>
  <c r="C38" i="23" s="1"/>
  <c r="B8" i="23"/>
  <c r="B31" i="23" s="1"/>
  <c r="C6" i="23"/>
  <c r="C34" i="23" s="1"/>
  <c r="B6" i="23"/>
  <c r="B34" i="23" s="1"/>
  <c r="C35" i="22"/>
  <c r="B35" i="22"/>
  <c r="D32" i="22"/>
  <c r="C32" i="22"/>
  <c r="C30" i="22"/>
  <c r="B30" i="22"/>
  <c r="D28" i="22"/>
  <c r="C28" i="22"/>
  <c r="B28" i="22"/>
  <c r="D22" i="22"/>
  <c r="D37" i="22" s="1"/>
  <c r="D20" i="22"/>
  <c r="C20" i="22"/>
  <c r="C21" i="22" s="1"/>
  <c r="B20" i="22"/>
  <c r="B37" i="22" s="1"/>
  <c r="D18" i="22"/>
  <c r="B13" i="22"/>
  <c r="C11" i="22"/>
  <c r="C31" i="22" s="1"/>
  <c r="B11" i="22"/>
  <c r="D10" i="22"/>
  <c r="D11" i="22" s="1"/>
  <c r="D8" i="22"/>
  <c r="D33" i="22" s="1"/>
  <c r="C8" i="22"/>
  <c r="C36" i="22" s="1"/>
  <c r="B6" i="22"/>
  <c r="B32" i="22" s="1"/>
  <c r="B38" i="21"/>
  <c r="D37" i="21"/>
  <c r="D35" i="21"/>
  <c r="C35" i="21"/>
  <c r="E32" i="21"/>
  <c r="D32" i="21"/>
  <c r="C32" i="21"/>
  <c r="E30" i="21"/>
  <c r="D30" i="21"/>
  <c r="C30" i="21"/>
  <c r="E28" i="21"/>
  <c r="D28" i="21"/>
  <c r="C28" i="21"/>
  <c r="B23" i="21"/>
  <c r="D21" i="21"/>
  <c r="B21" i="21"/>
  <c r="E18" i="21"/>
  <c r="E20" i="21" s="1"/>
  <c r="E22" i="21" s="1"/>
  <c r="B18" i="21"/>
  <c r="D17" i="21"/>
  <c r="C17" i="21"/>
  <c r="C20" i="21" s="1"/>
  <c r="C37" i="21" s="1"/>
  <c r="B17" i="21"/>
  <c r="B20" i="21" s="1"/>
  <c r="B22" i="21" s="1"/>
  <c r="B16" i="21"/>
  <c r="C13" i="21"/>
  <c r="B12" i="21"/>
  <c r="D11" i="21"/>
  <c r="D31" i="21" s="1"/>
  <c r="C11" i="21"/>
  <c r="E10" i="21"/>
  <c r="E11" i="21" s="1"/>
  <c r="B10" i="21"/>
  <c r="B11" i="21" s="1"/>
  <c r="B9" i="21"/>
  <c r="D8" i="21"/>
  <c r="D36" i="21" s="1"/>
  <c r="C8" i="21"/>
  <c r="C36" i="21" s="1"/>
  <c r="E6" i="21"/>
  <c r="E8" i="21" s="1"/>
  <c r="B6" i="21"/>
  <c r="B32" i="21" s="1"/>
  <c r="B5" i="21"/>
  <c r="B8" i="21" s="1"/>
  <c r="M39" i="20"/>
  <c r="C39" i="20"/>
  <c r="M37" i="20"/>
  <c r="C37" i="20"/>
  <c r="L35" i="20"/>
  <c r="G35" i="20"/>
  <c r="D35" i="20"/>
  <c r="M34" i="20"/>
  <c r="I34" i="20"/>
  <c r="H34" i="20"/>
  <c r="D34" i="20"/>
  <c r="C34" i="20"/>
  <c r="M32" i="20"/>
  <c r="L32" i="20"/>
  <c r="I32" i="20"/>
  <c r="H32" i="20"/>
  <c r="G32" i="20"/>
  <c r="C32" i="20"/>
  <c r="B32" i="20"/>
  <c r="L31" i="20"/>
  <c r="G31" i="20"/>
  <c r="D31" i="20"/>
  <c r="N30" i="20"/>
  <c r="M30" i="20"/>
  <c r="L30" i="20"/>
  <c r="I30" i="20"/>
  <c r="H30" i="20"/>
  <c r="G30" i="20"/>
  <c r="D30" i="20"/>
  <c r="C30" i="20"/>
  <c r="B30" i="20"/>
  <c r="M22" i="20"/>
  <c r="M38" i="20" s="1"/>
  <c r="H22" i="20"/>
  <c r="H39" i="20" s="1"/>
  <c r="C22" i="20"/>
  <c r="C38" i="20" s="1"/>
  <c r="N18" i="20"/>
  <c r="N20" i="20" s="1"/>
  <c r="N22" i="20" s="1"/>
  <c r="L18" i="20"/>
  <c r="L20" i="20" s="1"/>
  <c r="L22" i="20" s="1"/>
  <c r="I18" i="20"/>
  <c r="I20" i="20" s="1"/>
  <c r="I22" i="20" s="1"/>
  <c r="G18" i="20"/>
  <c r="G20" i="20" s="1"/>
  <c r="G22" i="20" s="1"/>
  <c r="D18" i="20"/>
  <c r="D20" i="20" s="1"/>
  <c r="D22" i="20" s="1"/>
  <c r="B18" i="20"/>
  <c r="B20" i="20" s="1"/>
  <c r="B22" i="20" s="1"/>
  <c r="M13" i="20"/>
  <c r="I13" i="20"/>
  <c r="G13" i="20"/>
  <c r="C13" i="20"/>
  <c r="N11" i="20"/>
  <c r="M11" i="20"/>
  <c r="M33" i="20" s="1"/>
  <c r="L11" i="20"/>
  <c r="L13" i="20" s="1"/>
  <c r="I11" i="20"/>
  <c r="I33" i="20" s="1"/>
  <c r="H11" i="20"/>
  <c r="H33" i="20" s="1"/>
  <c r="G11" i="20"/>
  <c r="G33" i="20" s="1"/>
  <c r="C11" i="20"/>
  <c r="C33" i="20" s="1"/>
  <c r="B11" i="20"/>
  <c r="N10" i="20"/>
  <c r="N32" i="20" s="1"/>
  <c r="D10" i="20"/>
  <c r="D32" i="20" s="1"/>
  <c r="M8" i="20"/>
  <c r="M35" i="20" s="1"/>
  <c r="I8" i="20"/>
  <c r="I35" i="20" s="1"/>
  <c r="H8" i="20"/>
  <c r="H35" i="20" s="1"/>
  <c r="D8" i="20"/>
  <c r="C8" i="20"/>
  <c r="C35" i="20" s="1"/>
  <c r="N6" i="20"/>
  <c r="N34" i="20" s="1"/>
  <c r="L6" i="20"/>
  <c r="L34" i="20" s="1"/>
  <c r="G6" i="20"/>
  <c r="G34" i="20" s="1"/>
  <c r="B6" i="20"/>
  <c r="B34" i="20" s="1"/>
  <c r="D38" i="19"/>
  <c r="C38" i="19"/>
  <c r="C37" i="19"/>
  <c r="D36" i="19"/>
  <c r="C36" i="19"/>
  <c r="C34" i="19"/>
  <c r="D33" i="19"/>
  <c r="C32" i="19"/>
  <c r="D31" i="19"/>
  <c r="C31" i="19"/>
  <c r="B31" i="19"/>
  <c r="D30" i="19"/>
  <c r="C30" i="19"/>
  <c r="E29" i="19"/>
  <c r="D29" i="19"/>
  <c r="C29" i="19"/>
  <c r="B29" i="19"/>
  <c r="B21" i="19"/>
  <c r="E19" i="19"/>
  <c r="E18" i="19"/>
  <c r="E20" i="19" s="1"/>
  <c r="E22" i="19" s="1"/>
  <c r="B18" i="19"/>
  <c r="B20" i="19" s="1"/>
  <c r="B22" i="19" s="1"/>
  <c r="D17" i="19"/>
  <c r="C17" i="19"/>
  <c r="D12" i="19"/>
  <c r="D14" i="19" s="1"/>
  <c r="C12" i="19"/>
  <c r="B12" i="19"/>
  <c r="B14" i="19" s="1"/>
  <c r="B34" i="19" s="1"/>
  <c r="E11" i="19"/>
  <c r="E31" i="19" s="1"/>
  <c r="E9" i="19"/>
  <c r="E30" i="19" s="1"/>
  <c r="D9" i="19"/>
  <c r="B9" i="19"/>
  <c r="B30" i="19" s="1"/>
  <c r="E6" i="19"/>
  <c r="E33" i="19" s="1"/>
  <c r="C6" i="19"/>
  <c r="C33" i="19" s="1"/>
  <c r="B6" i="19"/>
  <c r="B33" i="19" s="1"/>
  <c r="D33" i="18"/>
  <c r="D15" i="18" s="1"/>
  <c r="H21" i="18"/>
  <c r="F21" i="18"/>
  <c r="C21" i="18"/>
  <c r="H15" i="18"/>
  <c r="F15" i="18"/>
  <c r="C15" i="18"/>
  <c r="H9" i="18"/>
  <c r="F9" i="18"/>
  <c r="C9" i="18"/>
  <c r="D25" i="17"/>
  <c r="D19" i="17" s="1"/>
  <c r="H19" i="17"/>
  <c r="F19" i="17"/>
  <c r="C19" i="17"/>
  <c r="H14" i="17"/>
  <c r="F14" i="17"/>
  <c r="C14" i="17"/>
  <c r="H9" i="17"/>
  <c r="F9" i="17"/>
  <c r="C9" i="17"/>
  <c r="E39" i="23" l="1"/>
  <c r="E38" i="23"/>
  <c r="E37" i="23"/>
  <c r="D21" i="23"/>
  <c r="D39" i="23"/>
  <c r="C13" i="23"/>
  <c r="B35" i="23"/>
  <c r="B38" i="23"/>
  <c r="C35" i="23"/>
  <c r="D13" i="22"/>
  <c r="D31" i="22"/>
  <c r="B31" i="22"/>
  <c r="D36" i="22"/>
  <c r="B8" i="22"/>
  <c r="C13" i="22"/>
  <c r="C29" i="22"/>
  <c r="D30" i="22"/>
  <c r="C33" i="22"/>
  <c r="D35" i="22"/>
  <c r="D29" i="22"/>
  <c r="C37" i="22"/>
  <c r="B33" i="21"/>
  <c r="B29" i="21"/>
  <c r="B37" i="21"/>
  <c r="B36" i="21"/>
  <c r="B35" i="21"/>
  <c r="B31" i="21"/>
  <c r="B13" i="21"/>
  <c r="E37" i="21"/>
  <c r="E36" i="21"/>
  <c r="E35" i="21"/>
  <c r="E33" i="21"/>
  <c r="E29" i="21"/>
  <c r="E13" i="21"/>
  <c r="E31" i="21"/>
  <c r="D13" i="21"/>
  <c r="B28" i="21"/>
  <c r="B30" i="21"/>
  <c r="C29" i="21"/>
  <c r="C31" i="21"/>
  <c r="C33" i="21"/>
  <c r="D29" i="21"/>
  <c r="D33" i="21"/>
  <c r="B39" i="20"/>
  <c r="B37" i="20"/>
  <c r="L37" i="20"/>
  <c r="L39" i="20"/>
  <c r="L38" i="20"/>
  <c r="D37" i="20"/>
  <c r="D39" i="20"/>
  <c r="D38" i="20"/>
  <c r="N39" i="20"/>
  <c r="N38" i="20"/>
  <c r="N37" i="20"/>
  <c r="G39" i="20"/>
  <c r="G38" i="20"/>
  <c r="G37" i="20"/>
  <c r="I38" i="20"/>
  <c r="I37" i="20"/>
  <c r="I39" i="20"/>
  <c r="H31" i="20"/>
  <c r="L33" i="20"/>
  <c r="N8" i="20"/>
  <c r="B13" i="20"/>
  <c r="H13" i="20"/>
  <c r="N13" i="20"/>
  <c r="C31" i="20"/>
  <c r="I31" i="20"/>
  <c r="H37" i="20"/>
  <c r="D11" i="20"/>
  <c r="H38" i="20"/>
  <c r="B8" i="20"/>
  <c r="M31" i="20"/>
  <c r="D34" i="19"/>
  <c r="D37" i="19"/>
  <c r="E38" i="19"/>
  <c r="E36" i="19"/>
  <c r="B38" i="19"/>
  <c r="B37" i="19"/>
  <c r="B36" i="19"/>
  <c r="D32" i="19"/>
  <c r="B32" i="19"/>
  <c r="E12" i="19"/>
  <c r="D9" i="18"/>
  <c r="D9" i="17"/>
  <c r="D14" i="17"/>
  <c r="B29" i="22" l="1"/>
  <c r="B36" i="22"/>
  <c r="B33" i="22"/>
  <c r="B35" i="20"/>
  <c r="B31" i="20"/>
  <c r="N35" i="20"/>
  <c r="N31" i="20"/>
  <c r="B38" i="20"/>
  <c r="D13" i="20"/>
  <c r="D33" i="20"/>
  <c r="N33" i="20"/>
  <c r="B33" i="20"/>
  <c r="E32" i="19"/>
  <c r="E14" i="19"/>
  <c r="E34" i="19" l="1"/>
  <c r="E37" i="19"/>
</calcChain>
</file>

<file path=xl/sharedStrings.xml><?xml version="1.0" encoding="utf-8"?>
<sst xmlns="http://schemas.openxmlformats.org/spreadsheetml/2006/main" count="289" uniqueCount="129">
  <si>
    <t>Small</t>
  </si>
  <si>
    <t>Medium</t>
  </si>
  <si>
    <t>Large</t>
  </si>
  <si>
    <t>Bargaining-only</t>
  </si>
  <si>
    <t>Niche marketing</t>
  </si>
  <si>
    <t>Diversified</t>
  </si>
  <si>
    <t>Fluid processing</t>
  </si>
  <si>
    <t>Commodity manufacturing</t>
  </si>
  <si>
    <t>Bargaining-operating</t>
  </si>
  <si>
    <t>Cooperative marketed less than 50 million pounds of milk annually.</t>
  </si>
  <si>
    <t>Cooperative marketed 50 to 999 million pounds of milk in 2007</t>
  </si>
  <si>
    <t>Cooperatives that operate at the first-handler level only, assisting members in the marketplace by negotiating prices, facilitating arrangements between mil buyer and seller, ensuring accurate milk weights and tests and so forth. </t>
  </si>
  <si>
    <t>Cooperatives that typically use most or all of their member milk to make specialty dairy products such as artisan or branded cheese and includes those marketing organic or specialty products that accentuate milk production methods. These were called randed cheese cooperatives in 1997.</t>
  </si>
  <si>
    <t>Cooperatives that own and operate plants to make a variety of commodity and/or differentiated products, while also selling a portion as bulk raw milk.</t>
  </si>
  <si>
    <t>Cooperatives that focus operations on the fluid beverage market, typically packaging most or all member milk into fluid milk products and some may also make butter, sour cream, ice cream, yogurt or dips.</t>
  </si>
  <si>
    <t>Cooperatives that manufactured membersmilk into undifferentiated, commodity dairy products (such as butter, powder and cheese). Some used their plant facilities to balance milk supplies while others used most of their members' milk to make the bulk products. This category was no longer applicable after 2002.</t>
  </si>
  <si>
    <t>Bargaining cooperatives that did some processing and/or manufacturing of a minor portion of their membersmilk. This category was discontinued after the 1980 report.</t>
  </si>
  <si>
    <t>Term</t>
  </si>
  <si>
    <t>Definition</t>
  </si>
  <si>
    <t>Table 3--Consolidated financial statements, U.S. dairy cooperatives</t>
  </si>
  <si>
    <t>Table 4--Consolidated financial statements, U.S. dairy cooperatives, by size</t>
  </si>
  <si>
    <t>Table 4a--Financial ratios, U.S. dairy cooperatives, by size</t>
  </si>
  <si>
    <t>Table 5--Consolidated financial statements, bargaining only dairy cooperatives</t>
  </si>
  <si>
    <t>Table 5a--Financial ratios, bargaining only dairy cooperatives</t>
  </si>
  <si>
    <t>Table 6--Consolidated financial statements, niche marketing dairy cooperatives</t>
  </si>
  <si>
    <t>Table 6a--Financial ratios, niche marketing dairy cooperatives</t>
  </si>
  <si>
    <t>Tab</t>
  </si>
  <si>
    <t>Table 1</t>
  </si>
  <si>
    <t>Table 2</t>
  </si>
  <si>
    <t>Table 1—Balance sheet data per cwt of member milk, U.S. dairy cooperatives, by type</t>
  </si>
  <si>
    <t>Type of dairy cooperative</t>
  </si>
  <si>
    <t>Item</t>
  </si>
  <si>
    <t>Year</t>
  </si>
  <si>
    <t>All</t>
  </si>
  <si>
    <t>Bargaining only</t>
  </si>
  <si>
    <t>Diversified &amp; fluid-processing</t>
  </si>
  <si>
    <t xml:space="preserve"> - - - $ per cwt  - - - </t>
  </si>
  <si>
    <t>Total assets</t>
  </si>
  <si>
    <t>Total liabilities</t>
  </si>
  <si>
    <t>Equity</t>
  </si>
  <si>
    <t xml:space="preserve"> - - - Million pounds - - -</t>
  </si>
  <si>
    <t>Member milk</t>
  </si>
  <si>
    <t>Number of cooperatives</t>
  </si>
  <si>
    <t>Contacts:</t>
  </si>
  <si>
    <t>carolyn.liebrand@wdc.usda.gov, (202) 690-1414</t>
  </si>
  <si>
    <t>Table 2—Operating statement data per cwt of milk, U.S. dairy cooperatives, by type</t>
  </si>
  <si>
    <t xml:space="preserve"> - - - $ per cwt of total milk handled - - - </t>
  </si>
  <si>
    <t>Milk &amp; dairy product sales</t>
  </si>
  <si>
    <t>Total sales and income</t>
  </si>
  <si>
    <t>Net margins</t>
  </si>
  <si>
    <t>Total milk handled</t>
  </si>
  <si>
    <t>- - - $1,000 - - -</t>
  </si>
  <si>
    <t>Balance sheet</t>
  </si>
  <si>
    <t xml:space="preserve">  Current assets</t>
  </si>
  <si>
    <t xml:space="preserve">  Investments in other cooperatives</t>
  </si>
  <si>
    <t xml:space="preserve">    </t>
  </si>
  <si>
    <t xml:space="preserve">  Other assets</t>
  </si>
  <si>
    <t>Available??</t>
  </si>
  <si>
    <t xml:space="preserve">    Total assets</t>
  </si>
  <si>
    <t xml:space="preserve">  Current liabilities</t>
  </si>
  <si>
    <t xml:space="preserve">  Long term liabilities</t>
  </si>
  <si>
    <t xml:space="preserve">    Total liabilities</t>
  </si>
  <si>
    <t xml:space="preserve">  Equity</t>
  </si>
  <si>
    <t xml:space="preserve">    Total liabilities and equity</t>
  </si>
  <si>
    <t>Sales and Income</t>
  </si>
  <si>
    <t xml:space="preserve">  Milk and dairy product sales</t>
  </si>
  <si>
    <t xml:space="preserve">  Supply and other sales</t>
  </si>
  <si>
    <t xml:space="preserve">  Service receipts and other income</t>
  </si>
  <si>
    <t xml:space="preserve">  Patronage refunds</t>
  </si>
  <si>
    <t xml:space="preserve">    Total sales and income</t>
  </si>
  <si>
    <t xml:space="preserve">  Costs and expenses</t>
  </si>
  <si>
    <t xml:space="preserve">  Net margins</t>
  </si>
  <si>
    <t xml:space="preserve">  Net margins after tax</t>
  </si>
  <si>
    <t>Table 3a--Financial ratios, U.S. dairy cooperatives</t>
  </si>
  <si>
    <t>Capitalization</t>
  </si>
  <si>
    <t>- - - Ratio - - -</t>
  </si>
  <si>
    <t xml:space="preserve">  Current (working capital)</t>
  </si>
  <si>
    <t xml:space="preserve">  Current liabilities to total assets</t>
  </si>
  <si>
    <t xml:space="preserve">  Long-term debt:equity </t>
  </si>
  <si>
    <t xml:space="preserve">  Total liabilities:total assets</t>
  </si>
  <si>
    <t xml:space="preserve">  Equity:fixed assets and investments</t>
  </si>
  <si>
    <t xml:space="preserve">  Equity:total assets</t>
  </si>
  <si>
    <t>Profitability</t>
  </si>
  <si>
    <t>--- Percent ---</t>
  </si>
  <si>
    <t xml:space="preserve">  Return on equity</t>
  </si>
  <si>
    <t xml:space="preserve">  Return on total assets</t>
  </si>
  <si>
    <t xml:space="preserve">  Net margins to sales</t>
  </si>
  <si>
    <t xml:space="preserve"> </t>
  </si>
  <si>
    <t xml:space="preserve">    Total costs and expenses</t>
  </si>
  <si>
    <t xml:space="preserve">    Net margins</t>
  </si>
  <si>
    <t>Net milk volume (million pounds)</t>
  </si>
  <si>
    <t>- - - Percent - - -</t>
  </si>
  <si>
    <t>--- $1,000 ---</t>
  </si>
  <si>
    <t xml:space="preserve">  Property, plant and equipment and other assets</t>
  </si>
  <si>
    <t xml:space="preserve">   Equity</t>
  </si>
  <si>
    <t xml:space="preserve">    Total income</t>
  </si>
  <si>
    <t xml:space="preserve">  Supply and Other sales</t>
  </si>
  <si>
    <t>Interest expense</t>
  </si>
  <si>
    <t>not reported</t>
  </si>
  <si>
    <t>Net margin before taxes and interest expense</t>
  </si>
  <si>
    <r>
      <t>C</t>
    </r>
    <r>
      <rPr>
        <sz val="11"/>
        <color rgb="FF000000"/>
        <rFont val="Calibri"/>
        <family val="2"/>
        <scheme val="minor"/>
      </rPr>
      <t>ooperative marketed 1 billion or more pounds of milk in 2007.</t>
    </r>
  </si>
  <si>
    <t>Balance sheet data per cwt of member milk, U.S. dairy cooperatives, by type</t>
  </si>
  <si>
    <t>Operating statement per cwt of member milk, U.S. dairy cooperatives, by type</t>
  </si>
  <si>
    <t>Table Name</t>
  </si>
  <si>
    <t>TABLE OF CONTENTS</t>
  </si>
  <si>
    <t>Financial Profile of Dairy Cooperatives-Historical Summaries</t>
  </si>
  <si>
    <t>This series presents the financial profiles of dairy cooperatives previously published in Research Report Nos. 49, 176, 203, 219 and 233. These reports contain the findings of Cooperative Programs surveys of milk-marketing dairy cooperatives for fiscal years 1980, 1997, 2002, 2007 and 2012. Returns and net margins are before tax. Blanks in the tables mean data are not available for the particular entries. Over time, dairy cooperatives have adapted their operations to existing marketing conditions. Therefore, the descriptions used to categorize dairy cooperatives have varied over the years and may not have been used in a given year. Liabilities not categorized are included with long term liabilities. Currency units are in nominal dollars.</t>
  </si>
  <si>
    <t>Not every U.S. dairy cooperative provided complete financial data in any given year. The cooperatives included in the study represented from 39 percent (1997) to 67 percent (2012, 1980) of the Nation dairy cooperatives. However, these cooperatives represented more than 96 percent of the total assets of U.S. dairy cooperatives and at least 90 percent of the net milk volume of U.S. dairy cooperatives.</t>
  </si>
  <si>
    <t>Posted 01/22/2015</t>
  </si>
  <si>
    <t xml:space="preserve"> - - - Number - - -</t>
  </si>
  <si>
    <t>Table 7--Consolidated financial statements, diversified dairy cooperatives</t>
  </si>
  <si>
    <t>Tabel 7a--Financial ratios, diversified dairy cooperatives</t>
  </si>
  <si>
    <t>Table 3 &amp; 3a</t>
  </si>
  <si>
    <t>Table 4 &amp; 4a</t>
  </si>
  <si>
    <t>Table 5 &amp; 5a</t>
  </si>
  <si>
    <t>Table 6 &amp; 6a</t>
  </si>
  <si>
    <t>Table 7 &amp; 7a</t>
  </si>
  <si>
    <t>Consolidated financial statements and ratios, U.S. dairy cooperatives</t>
  </si>
  <si>
    <t>Consolidated financial statements and ratios, U.S. dairy cooperatives, by size</t>
  </si>
  <si>
    <t>Consolidated financial statements and ratios, bargaining only dairy cooperatives</t>
  </si>
  <si>
    <t>Consolidated financial statements and ratios, niche marketing dairy cooperatives</t>
  </si>
  <si>
    <t>Consolidated financial statements and ratios, diversified and fluid processing dairy cooperatives</t>
  </si>
  <si>
    <r>
      <t>1980</t>
    </r>
    <r>
      <rPr>
        <vertAlign val="superscript"/>
        <sz val="11"/>
        <rFont val="Calibri"/>
        <family val="2"/>
        <scheme val="minor"/>
      </rPr>
      <t>1/</t>
    </r>
  </si>
  <si>
    <r>
      <t>1980</t>
    </r>
    <r>
      <rPr>
        <vertAlign val="superscript"/>
        <sz val="11"/>
        <rFont val="Calibri"/>
        <family val="2"/>
        <scheme val="minor"/>
      </rPr>
      <t>2/</t>
    </r>
  </si>
  <si>
    <r>
      <t xml:space="preserve">1/ </t>
    </r>
    <r>
      <rPr>
        <sz val="11"/>
        <rFont val="Calibri"/>
        <family val="2"/>
        <scheme val="minor"/>
      </rPr>
      <t>$/cwt of total milk handled, includes non-member milk</t>
    </r>
  </si>
  <si>
    <r>
      <t>2/</t>
    </r>
    <r>
      <rPr>
        <sz val="11"/>
        <rFont val="Calibri"/>
        <family val="2"/>
        <scheme val="minor"/>
      </rPr>
      <t>Total milk handled, includes non-member milk</t>
    </r>
  </si>
  <si>
    <r>
      <t xml:space="preserve">   </t>
    </r>
    <r>
      <rPr>
        <sz val="12"/>
        <rFont val="Calibri"/>
        <family val="2"/>
        <scheme val="minor"/>
      </rPr>
      <t>Property, plant and equipment &amp; other</t>
    </r>
  </si>
  <si>
    <r>
      <t xml:space="preserve">   </t>
    </r>
    <r>
      <rPr>
        <sz val="11"/>
        <rFont val="Calibri"/>
        <family val="2"/>
        <scheme val="minor"/>
      </rPr>
      <t>Property, plant and equipment &amp; other</t>
    </r>
  </si>
  <si>
    <r>
      <t xml:space="preserve">   </t>
    </r>
    <r>
      <rPr>
        <sz val="12"/>
        <rFont val="Calibri"/>
        <family val="2"/>
        <scheme val="minor"/>
      </rPr>
      <t>Property, plant and equipment &amp; other assets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</si>
</sst>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0.0"/>
  </numFmts>
  <fonts count="25" x14ac:knownFonts="1">
    <font>
      <sz val="11"/>
      <color theme="1"/>
      <name val="Calibri"/>
      <family val="2"/>
      <scheme val="minor"/>
    </font>
    <font>
      <b/>
      <sz val="11"/>
      <color theme="0"/>
      <name val="Calibri"/>
      <family val="2"/>
      <scheme val="minor"/>
    </font>
    <font>
      <u/>
      <sz val="10"/>
      <color indexed="12"/>
      <name val="Arial"/>
      <family val="2"/>
    </font>
    <font>
      <sz val="11"/>
      <color rgb="FF000000"/>
      <name val="Calibri"/>
      <family val="2"/>
      <scheme val="minor"/>
    </font>
    <font>
      <u/>
      <sz val="10"/>
      <color indexed="12"/>
      <name val="Calibri"/>
      <family val="2"/>
      <scheme val="minor"/>
    </font>
    <font>
      <sz val="11"/>
      <name val="Calibri"/>
      <family val="2"/>
      <scheme val="minor"/>
    </font>
    <font>
      <b/>
      <sz val="11"/>
      <color rgb="FF000000"/>
      <name val="Calibri"/>
      <family val="2"/>
      <scheme val="minor"/>
    </font>
    <font>
      <u/>
      <sz val="11"/>
      <color indexed="12"/>
      <name val="Calibri"/>
      <family val="2"/>
      <scheme val="minor"/>
    </font>
    <font>
      <sz val="10"/>
      <name val="Arial"/>
      <family val="2"/>
    </font>
    <font>
      <sz val="11"/>
      <color theme="1"/>
      <name val="Calibri"/>
      <family val="2"/>
      <scheme val="minor"/>
    </font>
    <font>
      <sz val="12"/>
      <name val="Calibri"/>
      <family val="2"/>
      <scheme val="minor"/>
    </font>
    <font>
      <sz val="10"/>
      <name val="Calibri"/>
      <family val="2"/>
      <scheme val="minor"/>
    </font>
    <font>
      <i/>
      <sz val="11"/>
      <name val="Calibri"/>
      <family val="2"/>
      <scheme val="minor"/>
    </font>
    <font>
      <u/>
      <sz val="11"/>
      <name val="Calibri"/>
      <family val="2"/>
      <scheme val="minor"/>
    </font>
    <font>
      <vertAlign val="superscript"/>
      <sz val="11"/>
      <name val="Calibri"/>
      <family val="2"/>
      <scheme val="minor"/>
    </font>
    <font>
      <sz val="8"/>
      <name val="Calibri"/>
      <family val="2"/>
      <scheme val="minor"/>
    </font>
    <font>
      <u/>
      <sz val="8"/>
      <color indexed="12"/>
      <name val="Calibri"/>
      <family val="2"/>
      <scheme val="minor"/>
    </font>
    <font>
      <u/>
      <sz val="12"/>
      <name val="Calibri"/>
      <family val="2"/>
      <scheme val="minor"/>
    </font>
    <font>
      <vertAlign val="superscript"/>
      <sz val="12"/>
      <name val="Calibri"/>
      <family val="2"/>
      <scheme val="minor"/>
    </font>
    <font>
      <u val="singleAccounting"/>
      <sz val="12"/>
      <name val="Calibri"/>
      <family val="2"/>
      <scheme val="minor"/>
    </font>
    <font>
      <u val="doubleAccounting"/>
      <sz val="12"/>
      <name val="Calibri"/>
      <family val="2"/>
      <scheme val="minor"/>
    </font>
    <font>
      <i/>
      <sz val="12"/>
      <name val="Calibri"/>
      <family val="2"/>
      <scheme val="minor"/>
    </font>
    <font>
      <b/>
      <sz val="11"/>
      <name val="Calibri"/>
      <family val="2"/>
      <scheme val="minor"/>
    </font>
    <font>
      <u val="singleAccounting"/>
      <sz val="11"/>
      <name val="Calibri"/>
      <family val="2"/>
      <scheme val="minor"/>
    </font>
    <font>
      <u val="doubleAccounting"/>
      <sz val="1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8" fillId="0" borderId="0"/>
    <xf numFmtId="43" fontId="8" fillId="0" borderId="0" applyFont="0" applyFill="0" applyBorder="0" applyAlignment="0" applyProtection="0"/>
  </cellStyleXfs>
  <cellXfs count="141">
    <xf numFmtId="0" fontId="0" fillId="0" borderId="0" xfId="0"/>
    <xf numFmtId="0" fontId="1" fillId="2" borderId="1" xfId="0" applyFont="1" applyFill="1" applyBorder="1" applyAlignment="1">
      <alignment horizontal="center" vertical="top" wrapText="1"/>
    </xf>
    <xf numFmtId="0" fontId="0" fillId="0" borderId="1" xfId="0" applyFont="1" applyBorder="1" applyAlignment="1">
      <alignment vertical="top" wrapText="1"/>
    </xf>
    <xf numFmtId="0" fontId="0" fillId="0" borderId="0" xfId="0" applyFont="1"/>
    <xf numFmtId="0" fontId="0" fillId="0" borderId="1" xfId="0" applyFont="1" applyBorder="1"/>
    <xf numFmtId="0" fontId="4" fillId="0" borderId="1" xfId="1" applyFont="1" applyBorder="1" applyAlignment="1" applyProtection="1"/>
    <xf numFmtId="0" fontId="6" fillId="0" borderId="0" xfId="0" applyFont="1" applyAlignment="1">
      <alignment vertical="center" wrapText="1"/>
    </xf>
    <xf numFmtId="0" fontId="5" fillId="0" borderId="0" xfId="0" applyFont="1" applyAlignment="1">
      <alignment wrapText="1"/>
    </xf>
    <xf numFmtId="0" fontId="3" fillId="0" borderId="0" xfId="0" applyFont="1" applyAlignment="1">
      <alignment vertical="center" wrapText="1"/>
    </xf>
    <xf numFmtId="0" fontId="5" fillId="0" borderId="0" xfId="0" applyFont="1" applyAlignment="1">
      <alignment vertical="center" wrapText="1"/>
    </xf>
    <xf numFmtId="0" fontId="5" fillId="0" borderId="0" xfId="1" applyFont="1" applyAlignment="1" applyProtection="1">
      <alignment horizontal="left"/>
    </xf>
    <xf numFmtId="0" fontId="7" fillId="0" borderId="0" xfId="1" applyFont="1" applyAlignment="1" applyProtection="1"/>
    <xf numFmtId="0" fontId="5" fillId="0" borderId="0" xfId="0" applyFont="1" applyFill="1" applyAlignment="1">
      <alignment horizontal="center"/>
    </xf>
    <xf numFmtId="0" fontId="10" fillId="0" borderId="2" xfId="2" applyFont="1" applyBorder="1"/>
    <xf numFmtId="0" fontId="5" fillId="0" borderId="2" xfId="2" applyFont="1" applyBorder="1" applyAlignment="1">
      <alignment horizontal="center"/>
    </xf>
    <xf numFmtId="0" fontId="5" fillId="0" borderId="2" xfId="2" applyFont="1" applyBorder="1"/>
    <xf numFmtId="0" fontId="5" fillId="0" borderId="0" xfId="2" applyFont="1" applyBorder="1"/>
    <xf numFmtId="0" fontId="5" fillId="0" borderId="0" xfId="2" applyFont="1"/>
    <xf numFmtId="0" fontId="5" fillId="0" borderId="0" xfId="2" applyFont="1" applyAlignment="1">
      <alignment horizontal="center"/>
    </xf>
    <xf numFmtId="0" fontId="5" fillId="0" borderId="4" xfId="2" applyFont="1" applyBorder="1" applyAlignment="1">
      <alignment horizontal="center"/>
    </xf>
    <xf numFmtId="0" fontId="5" fillId="0" borderId="4" xfId="2" applyFont="1" applyBorder="1" applyAlignment="1">
      <alignment horizontal="center" wrapText="1"/>
    </xf>
    <xf numFmtId="0" fontId="13" fillId="0" borderId="0" xfId="2" applyFont="1"/>
    <xf numFmtId="43" fontId="5" fillId="0" borderId="0" xfId="3" applyFont="1"/>
    <xf numFmtId="0" fontId="5" fillId="0" borderId="0" xfId="2" applyFont="1" applyBorder="1" applyAlignment="1">
      <alignment horizontal="center"/>
    </xf>
    <xf numFmtId="43" fontId="5" fillId="0" borderId="0" xfId="3" quotePrefix="1" applyFont="1" applyAlignment="1">
      <alignment horizontal="right"/>
    </xf>
    <xf numFmtId="43" fontId="5" fillId="0" borderId="0" xfId="3" applyNumberFormat="1" applyFont="1"/>
    <xf numFmtId="164" fontId="5" fillId="0" borderId="0" xfId="3" applyNumberFormat="1" applyFont="1"/>
    <xf numFmtId="164" fontId="5" fillId="0" borderId="0" xfId="3" applyNumberFormat="1" applyFont="1" applyBorder="1"/>
    <xf numFmtId="0" fontId="13" fillId="0" borderId="0" xfId="2" applyFont="1" applyBorder="1"/>
    <xf numFmtId="164" fontId="5" fillId="0" borderId="0" xfId="3" quotePrefix="1" applyNumberFormat="1" applyFont="1" applyBorder="1" applyAlignment="1">
      <alignment horizontal="right"/>
    </xf>
    <xf numFmtId="164" fontId="5" fillId="0" borderId="0" xfId="2" applyNumberFormat="1" applyFont="1"/>
    <xf numFmtId="0" fontId="5" fillId="0" borderId="4" xfId="2" applyFont="1" applyBorder="1"/>
    <xf numFmtId="164" fontId="5" fillId="0" borderId="4" xfId="3" applyNumberFormat="1" applyFont="1" applyBorder="1"/>
    <xf numFmtId="0" fontId="14" fillId="0" borderId="0" xfId="2" applyFont="1"/>
    <xf numFmtId="0" fontId="11" fillId="0" borderId="0" xfId="2" applyFont="1"/>
    <xf numFmtId="0" fontId="11" fillId="0" borderId="0" xfId="2" applyFont="1" applyFill="1"/>
    <xf numFmtId="0" fontId="15" fillId="0" borderId="0" xfId="1" applyFont="1" applyAlignment="1" applyProtection="1">
      <alignment horizontal="left"/>
    </xf>
    <xf numFmtId="0" fontId="15" fillId="0" borderId="0" xfId="2" applyFont="1"/>
    <xf numFmtId="43" fontId="9" fillId="0" borderId="0" xfId="3" applyFont="1" applyBorder="1" applyAlignment="1">
      <alignment horizontal="center" vertical="center"/>
    </xf>
    <xf numFmtId="43" fontId="5" fillId="0" borderId="0" xfId="3" applyFont="1" applyBorder="1"/>
    <xf numFmtId="0" fontId="16" fillId="0" borderId="0" xfId="1" applyFont="1" applyAlignment="1" applyProtection="1"/>
    <xf numFmtId="0" fontId="15" fillId="0" borderId="0" xfId="2" applyFont="1" applyFill="1" applyAlignment="1">
      <alignment horizontal="right"/>
    </xf>
    <xf numFmtId="0" fontId="10" fillId="0" borderId="2" xfId="2" applyFont="1" applyBorder="1" applyAlignment="1"/>
    <xf numFmtId="164" fontId="10" fillId="0" borderId="2" xfId="3" applyNumberFormat="1" applyFont="1" applyBorder="1" applyAlignment="1"/>
    <xf numFmtId="0" fontId="10" fillId="0" borderId="0" xfId="2" applyFont="1" applyAlignment="1"/>
    <xf numFmtId="0" fontId="10" fillId="0" borderId="0" xfId="2" applyFont="1" applyBorder="1" applyAlignment="1"/>
    <xf numFmtId="0" fontId="10" fillId="0" borderId="3" xfId="2" applyFont="1" applyBorder="1" applyAlignment="1">
      <alignment horizontal="center"/>
    </xf>
    <xf numFmtId="0" fontId="17" fillId="0" borderId="0" xfId="2" applyFont="1"/>
    <xf numFmtId="164" fontId="17" fillId="0" borderId="0" xfId="3" applyNumberFormat="1" applyFont="1"/>
    <xf numFmtId="164" fontId="10" fillId="0" borderId="0" xfId="3" applyNumberFormat="1" applyFont="1"/>
    <xf numFmtId="0" fontId="10" fillId="0" borderId="0" xfId="2" applyFont="1" applyBorder="1"/>
    <xf numFmtId="0" fontId="10" fillId="0" borderId="0" xfId="2" applyFont="1"/>
    <xf numFmtId="164" fontId="10" fillId="0" borderId="0" xfId="3" applyNumberFormat="1" applyFont="1" applyBorder="1"/>
    <xf numFmtId="0" fontId="18" fillId="0" borderId="0" xfId="2" applyFont="1" applyAlignment="1">
      <alignment wrapText="1"/>
    </xf>
    <xf numFmtId="164" fontId="19" fillId="0" borderId="0" xfId="3" applyNumberFormat="1" applyFont="1"/>
    <xf numFmtId="164" fontId="19" fillId="0" borderId="0" xfId="3" applyNumberFormat="1" applyFont="1" applyBorder="1"/>
    <xf numFmtId="164" fontId="10" fillId="0" borderId="6" xfId="3" applyNumberFormat="1" applyFont="1" applyBorder="1"/>
    <xf numFmtId="164" fontId="20" fillId="0" borderId="0" xfId="3" applyNumberFormat="1" applyFont="1"/>
    <xf numFmtId="164" fontId="20" fillId="0" borderId="0" xfId="3" applyNumberFormat="1" applyFont="1" applyBorder="1"/>
    <xf numFmtId="164" fontId="10" fillId="0" borderId="0" xfId="2" applyNumberFormat="1" applyFont="1" applyBorder="1"/>
    <xf numFmtId="164" fontId="10" fillId="0" borderId="0" xfId="3" applyNumberFormat="1" applyFont="1" applyAlignment="1"/>
    <xf numFmtId="164" fontId="10" fillId="0" borderId="0" xfId="3" applyNumberFormat="1" applyFont="1" applyBorder="1" applyAlignment="1"/>
    <xf numFmtId="164" fontId="19" fillId="0" borderId="0" xfId="3" applyNumberFormat="1" applyFont="1" applyAlignment="1"/>
    <xf numFmtId="164" fontId="19" fillId="0" borderId="0" xfId="3" applyNumberFormat="1" applyFont="1" applyBorder="1" applyAlignment="1"/>
    <xf numFmtId="0" fontId="10" fillId="0" borderId="4" xfId="2" applyFont="1" applyBorder="1" applyAlignment="1"/>
    <xf numFmtId="164" fontId="10" fillId="0" borderId="4" xfId="3" applyNumberFormat="1" applyFont="1" applyBorder="1" applyAlignment="1"/>
    <xf numFmtId="164" fontId="10" fillId="0" borderId="7" xfId="3" applyNumberFormat="1" applyFont="1" applyBorder="1" applyAlignment="1"/>
    <xf numFmtId="0" fontId="18" fillId="0" borderId="0" xfId="2" applyFont="1" applyAlignment="1"/>
    <xf numFmtId="164" fontId="18" fillId="0" borderId="0" xfId="3" applyNumberFormat="1" applyFont="1" applyAlignment="1"/>
    <xf numFmtId="0" fontId="17" fillId="0" borderId="0" xfId="2" applyFont="1" applyAlignment="1"/>
    <xf numFmtId="43" fontId="10" fillId="0" borderId="0" xfId="3" applyNumberFormat="1" applyFont="1" applyAlignment="1"/>
    <xf numFmtId="165" fontId="10" fillId="0" borderId="0" xfId="3" applyNumberFormat="1" applyFont="1" applyAlignment="1"/>
    <xf numFmtId="165" fontId="10" fillId="0" borderId="0" xfId="3" applyNumberFormat="1" applyFont="1" applyBorder="1" applyAlignment="1"/>
    <xf numFmtId="164" fontId="5" fillId="0" borderId="2" xfId="3" applyNumberFormat="1" applyFont="1" applyBorder="1"/>
    <xf numFmtId="0" fontId="5" fillId="0" borderId="2" xfId="2" applyFont="1" applyBorder="1" applyAlignment="1"/>
    <xf numFmtId="0" fontId="5" fillId="0" borderId="0" xfId="2" applyFont="1" applyBorder="1" applyAlignment="1"/>
    <xf numFmtId="164" fontId="5" fillId="0" borderId="8" xfId="3" applyNumberFormat="1" applyFont="1" applyBorder="1"/>
    <xf numFmtId="164" fontId="22" fillId="0" borderId="8" xfId="3" applyNumberFormat="1" applyFont="1" applyBorder="1" applyAlignment="1">
      <alignment horizontal="center"/>
    </xf>
    <xf numFmtId="0" fontId="5" fillId="0" borderId="8" xfId="2" applyFont="1" applyBorder="1"/>
    <xf numFmtId="0" fontId="5" fillId="0" borderId="8" xfId="2" applyFont="1" applyBorder="1" applyAlignment="1">
      <alignment horizontal="center"/>
    </xf>
    <xf numFmtId="0" fontId="22" fillId="0" borderId="8" xfId="2" applyFont="1" applyBorder="1" applyAlignment="1">
      <alignment horizontal="center"/>
    </xf>
    <xf numFmtId="0" fontId="5" fillId="0" borderId="3" xfId="2" applyFont="1" applyBorder="1" applyAlignment="1">
      <alignment horizontal="center"/>
    </xf>
    <xf numFmtId="0" fontId="11" fillId="0" borderId="0" xfId="2" applyFont="1" applyBorder="1" applyAlignment="1">
      <alignment horizontal="center"/>
    </xf>
    <xf numFmtId="165" fontId="5" fillId="0" borderId="0" xfId="3" applyNumberFormat="1" applyFont="1"/>
    <xf numFmtId="164" fontId="5" fillId="0" borderId="0" xfId="3" applyNumberFormat="1" applyFont="1" applyAlignment="1"/>
    <xf numFmtId="165" fontId="5" fillId="0" borderId="0" xfId="3" applyNumberFormat="1" applyFont="1" applyBorder="1"/>
    <xf numFmtId="164" fontId="5" fillId="0" borderId="0" xfId="3" applyNumberFormat="1" applyFont="1" applyBorder="1" applyAlignment="1"/>
    <xf numFmtId="0" fontId="14" fillId="0" borderId="0" xfId="2" applyFont="1" applyAlignment="1">
      <alignment wrapText="1"/>
    </xf>
    <xf numFmtId="165" fontId="23" fillId="0" borderId="0" xfId="3" applyNumberFormat="1" applyFont="1"/>
    <xf numFmtId="164" fontId="23" fillId="0" borderId="0" xfId="3" applyNumberFormat="1" applyFont="1" applyAlignment="1"/>
    <xf numFmtId="165" fontId="23" fillId="0" borderId="0" xfId="3" applyNumberFormat="1" applyFont="1" applyBorder="1"/>
    <xf numFmtId="164" fontId="23" fillId="0" borderId="0" xfId="3" applyNumberFormat="1" applyFont="1"/>
    <xf numFmtId="164" fontId="23" fillId="0" borderId="0" xfId="3" applyNumberFormat="1" applyFont="1" applyBorder="1" applyAlignment="1"/>
    <xf numFmtId="165" fontId="24" fillId="0" borderId="0" xfId="3" applyNumberFormat="1" applyFont="1"/>
    <xf numFmtId="164" fontId="24" fillId="0" borderId="0" xfId="3" applyNumberFormat="1" applyFont="1" applyAlignment="1"/>
    <xf numFmtId="165" fontId="24" fillId="0" borderId="0" xfId="3" applyNumberFormat="1" applyFont="1" applyBorder="1"/>
    <xf numFmtId="164" fontId="24" fillId="0" borderId="0" xfId="3" applyNumberFormat="1" applyFont="1"/>
    <xf numFmtId="164" fontId="24" fillId="0" borderId="0" xfId="3" applyNumberFormat="1" applyFont="1" applyBorder="1" applyAlignment="1"/>
    <xf numFmtId="165" fontId="5" fillId="0" borderId="4" xfId="3" applyNumberFormat="1" applyFont="1" applyBorder="1"/>
    <xf numFmtId="164" fontId="5" fillId="0" borderId="4" xfId="3" applyNumberFormat="1" applyFont="1" applyBorder="1" applyAlignment="1"/>
    <xf numFmtId="164" fontId="23" fillId="0" borderId="0" xfId="3" applyNumberFormat="1" applyFont="1" applyBorder="1"/>
    <xf numFmtId="164" fontId="24" fillId="0" borderId="0" xfId="3" applyNumberFormat="1" applyFont="1" applyBorder="1"/>
    <xf numFmtId="0" fontId="5" fillId="0" borderId="0" xfId="2" applyFont="1" applyAlignment="1"/>
    <xf numFmtId="43" fontId="12" fillId="0" borderId="0" xfId="3" applyNumberFormat="1" applyFont="1" applyBorder="1" applyAlignment="1">
      <alignment horizontal="center"/>
    </xf>
    <xf numFmtId="43" fontId="5" fillId="0" borderId="0" xfId="3" applyNumberFormat="1" applyFont="1" applyBorder="1"/>
    <xf numFmtId="164" fontId="20" fillId="0" borderId="0" xfId="3" applyNumberFormat="1" applyFont="1" applyAlignment="1"/>
    <xf numFmtId="164" fontId="10" fillId="0" borderId="4" xfId="3" applyNumberFormat="1" applyFont="1" applyBorder="1"/>
    <xf numFmtId="164" fontId="20" fillId="0" borderId="0" xfId="3" applyNumberFormat="1" applyFont="1" applyBorder="1" applyAlignment="1"/>
    <xf numFmtId="0" fontId="10" fillId="0" borderId="3" xfId="2" applyFont="1" applyBorder="1" applyAlignment="1"/>
    <xf numFmtId="164" fontId="10" fillId="0" borderId="2" xfId="3" applyNumberFormat="1" applyFont="1" applyBorder="1"/>
    <xf numFmtId="0" fontId="10" fillId="0" borderId="0" xfId="2" applyFont="1" applyBorder="1" applyAlignment="1">
      <alignment horizontal="center"/>
    </xf>
    <xf numFmtId="0" fontId="10" fillId="0" borderId="0" xfId="2" applyFont="1" applyAlignment="1">
      <alignment horizontal="center"/>
    </xf>
    <xf numFmtId="166" fontId="10" fillId="0" borderId="0" xfId="3" applyNumberFormat="1" applyFont="1" applyAlignment="1"/>
    <xf numFmtId="166" fontId="10" fillId="0" borderId="0" xfId="3" applyNumberFormat="1" applyFont="1" applyBorder="1" applyAlignment="1"/>
    <xf numFmtId="0" fontId="10" fillId="0" borderId="2" xfId="2" applyFont="1" applyBorder="1" applyAlignment="1">
      <alignment wrapText="1"/>
    </xf>
    <xf numFmtId="0" fontId="11" fillId="0" borderId="5" xfId="2" applyFont="1" applyBorder="1" applyAlignment="1">
      <alignment horizontal="center"/>
    </xf>
    <xf numFmtId="0" fontId="21" fillId="0" borderId="0" xfId="2" applyFont="1"/>
    <xf numFmtId="164" fontId="21" fillId="0" borderId="0" xfId="3" applyNumberFormat="1" applyFont="1" applyAlignment="1"/>
    <xf numFmtId="164" fontId="21" fillId="0" borderId="0" xfId="3" applyNumberFormat="1" applyFont="1" applyAlignment="1">
      <alignment horizontal="right"/>
    </xf>
    <xf numFmtId="0" fontId="10" fillId="0" borderId="4" xfId="2" applyFont="1" applyBorder="1"/>
    <xf numFmtId="0" fontId="1" fillId="3" borderId="4" xfId="0" applyFont="1" applyFill="1" applyBorder="1" applyAlignment="1">
      <alignment horizontal="center"/>
    </xf>
    <xf numFmtId="0" fontId="5" fillId="0" borderId="3" xfId="2" applyFont="1" applyBorder="1" applyAlignment="1">
      <alignment horizontal="center"/>
    </xf>
    <xf numFmtId="0" fontId="11" fillId="0" borderId="3" xfId="2" applyFont="1" applyBorder="1" applyAlignment="1">
      <alignment horizontal="center"/>
    </xf>
    <xf numFmtId="0" fontId="11" fillId="0" borderId="3" xfId="2" applyFont="1" applyBorder="1" applyAlignment="1"/>
    <xf numFmtId="0" fontId="12" fillId="0" borderId="5" xfId="2" applyFont="1" applyBorder="1" applyAlignment="1">
      <alignment horizontal="center" vertical="center"/>
    </xf>
    <xf numFmtId="0" fontId="11" fillId="0" borderId="5" xfId="2" applyFont="1" applyBorder="1" applyAlignment="1">
      <alignment horizontal="center" vertical="center"/>
    </xf>
    <xf numFmtId="0" fontId="12" fillId="0" borderId="0" xfId="2" applyFont="1" applyBorder="1" applyAlignment="1">
      <alignment horizontal="center" vertical="center"/>
    </xf>
    <xf numFmtId="0" fontId="11" fillId="0" borderId="0" xfId="2" applyFont="1" applyAlignment="1">
      <alignment horizontal="center" vertical="center"/>
    </xf>
    <xf numFmtId="0" fontId="5" fillId="0" borderId="4" xfId="2" applyFont="1" applyBorder="1" applyAlignment="1">
      <alignment horizontal="center"/>
    </xf>
    <xf numFmtId="0" fontId="11" fillId="0" borderId="4" xfId="2" applyFont="1" applyBorder="1" applyAlignment="1">
      <alignment horizontal="center"/>
    </xf>
    <xf numFmtId="0" fontId="11" fillId="0" borderId="4" xfId="2" applyFont="1" applyBorder="1" applyAlignment="1"/>
    <xf numFmtId="0" fontId="10" fillId="0" borderId="5" xfId="2" quotePrefix="1" applyFont="1" applyBorder="1" applyAlignment="1">
      <alignment horizontal="center"/>
    </xf>
    <xf numFmtId="0" fontId="11" fillId="0" borderId="5" xfId="2" applyFont="1" applyBorder="1" applyAlignment="1">
      <alignment horizontal="center"/>
    </xf>
    <xf numFmtId="0" fontId="21" fillId="0" borderId="5" xfId="2" quotePrefix="1" applyFont="1" applyBorder="1" applyAlignment="1">
      <alignment horizontal="center"/>
    </xf>
    <xf numFmtId="43" fontId="21" fillId="0" borderId="0" xfId="3" quotePrefix="1" applyNumberFormat="1" applyFont="1" applyAlignment="1">
      <alignment horizontal="center"/>
    </xf>
    <xf numFmtId="0" fontId="11" fillId="0" borderId="0" xfId="2" applyFont="1" applyAlignment="1">
      <alignment horizontal="center"/>
    </xf>
    <xf numFmtId="43" fontId="12" fillId="0" borderId="0" xfId="3" quotePrefix="1" applyNumberFormat="1" applyFont="1" applyBorder="1" applyAlignment="1">
      <alignment horizontal="center"/>
    </xf>
    <xf numFmtId="0" fontId="11" fillId="0" borderId="0" xfId="2" applyFont="1" applyBorder="1" applyAlignment="1">
      <alignment horizontal="center"/>
    </xf>
    <xf numFmtId="43" fontId="12" fillId="0" borderId="5" xfId="3" quotePrefix="1" applyNumberFormat="1" applyFont="1" applyBorder="1" applyAlignment="1">
      <alignment horizontal="center"/>
    </xf>
    <xf numFmtId="0" fontId="11" fillId="0" borderId="5" xfId="2" applyFont="1" applyBorder="1" applyAlignment="1"/>
    <xf numFmtId="0" fontId="11" fillId="0" borderId="0" xfId="2" applyFont="1" applyAlignment="1"/>
  </cellXfs>
  <cellStyles count="4">
    <cellStyle name="Comma 2" xfId="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arolyn.liebrand@wdc.usda.gov,%20(202)%20690-141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1"/>
  <sheetViews>
    <sheetView showGridLines="0" tabSelected="1" workbookViewId="0">
      <selection activeCell="C20" sqref="C20"/>
    </sheetView>
  </sheetViews>
  <sheetFormatPr defaultColWidth="9.109375" defaultRowHeight="14.4" x14ac:dyDescent="0.3"/>
  <cols>
    <col min="1" max="1" width="9.109375" style="3"/>
    <col min="2" max="2" width="15.109375" style="3" customWidth="1"/>
    <col min="3" max="3" width="86.109375" style="3" bestFit="1" customWidth="1"/>
    <col min="4" max="16384" width="9.109375" style="3"/>
  </cols>
  <sheetData>
    <row r="3" spans="2:3" x14ac:dyDescent="0.3">
      <c r="B3" s="120" t="s">
        <v>104</v>
      </c>
      <c r="C3" s="120"/>
    </row>
    <row r="4" spans="2:3" x14ac:dyDescent="0.3">
      <c r="B4" s="1" t="s">
        <v>26</v>
      </c>
      <c r="C4" s="1" t="s">
        <v>103</v>
      </c>
    </row>
    <row r="5" spans="2:3" x14ac:dyDescent="0.3">
      <c r="B5" s="5" t="s">
        <v>27</v>
      </c>
      <c r="C5" s="4" t="s">
        <v>101</v>
      </c>
    </row>
    <row r="6" spans="2:3" x14ac:dyDescent="0.3">
      <c r="B6" s="5" t="s">
        <v>28</v>
      </c>
      <c r="C6" s="4" t="s">
        <v>102</v>
      </c>
    </row>
    <row r="7" spans="2:3" x14ac:dyDescent="0.3">
      <c r="B7" s="5" t="s">
        <v>112</v>
      </c>
      <c r="C7" s="4" t="s">
        <v>117</v>
      </c>
    </row>
    <row r="8" spans="2:3" x14ac:dyDescent="0.3">
      <c r="B8" s="5" t="s">
        <v>113</v>
      </c>
      <c r="C8" s="4" t="s">
        <v>118</v>
      </c>
    </row>
    <row r="9" spans="2:3" x14ac:dyDescent="0.3">
      <c r="B9" s="5" t="s">
        <v>114</v>
      </c>
      <c r="C9" s="4" t="s">
        <v>119</v>
      </c>
    </row>
    <row r="10" spans="2:3" x14ac:dyDescent="0.3">
      <c r="B10" s="5" t="s">
        <v>115</v>
      </c>
      <c r="C10" s="4" t="s">
        <v>120</v>
      </c>
    </row>
    <row r="11" spans="2:3" x14ac:dyDescent="0.3">
      <c r="B11" s="5" t="s">
        <v>116</v>
      </c>
      <c r="C11" s="4" t="s">
        <v>121</v>
      </c>
    </row>
  </sheetData>
  <mergeCells count="1">
    <mergeCell ref="B3:C3"/>
  </mergeCells>
  <hyperlinks>
    <hyperlink ref="B5" location="'Table 1'!A1" display="Table 1"/>
    <hyperlink ref="B6" location="'Table 2'!A1" display="Table 2"/>
    <hyperlink ref="B7" location="'Tables 3 &amp; 3a'!A1" display="Table 3 &amp; 3a"/>
    <hyperlink ref="B8" location="'Tables 4 &amp; 4a'!A1" display="Table 4 &amp; 4a"/>
    <hyperlink ref="B9" location="'Tables 5 &amp; 5a'!A1" display="Table 5 &amp; 5a"/>
    <hyperlink ref="B10" location="'Tables 6 &amp; 6a'!A1" display="Table 6 &amp; 6a"/>
    <hyperlink ref="B11" location="'Tables 7 &amp; 7a'!A1" display="Table 7 &amp; 7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activeCell="A7" sqref="A7"/>
    </sheetView>
  </sheetViews>
  <sheetFormatPr defaultRowHeight="15.6" x14ac:dyDescent="0.3"/>
  <cols>
    <col min="1" max="1" width="49.33203125" style="51" customWidth="1"/>
    <col min="2" max="2" width="15" style="51" customWidth="1"/>
    <col min="3" max="3" width="15" style="60" customWidth="1"/>
    <col min="4" max="4" width="15.33203125" style="60" customWidth="1"/>
    <col min="5" max="6" width="15.33203125" style="44" customWidth="1"/>
    <col min="7" max="256" width="9.109375" style="51"/>
    <col min="257" max="257" width="49.33203125" style="51" customWidth="1"/>
    <col min="258" max="259" width="15" style="51" customWidth="1"/>
    <col min="260" max="262" width="15.33203125" style="51" customWidth="1"/>
    <col min="263" max="512" width="9.109375" style="51"/>
    <col min="513" max="513" width="49.33203125" style="51" customWidth="1"/>
    <col min="514" max="515" width="15" style="51" customWidth="1"/>
    <col min="516" max="518" width="15.33203125" style="51" customWidth="1"/>
    <col min="519" max="768" width="9.109375" style="51"/>
    <col min="769" max="769" width="49.33203125" style="51" customWidth="1"/>
    <col min="770" max="771" width="15" style="51" customWidth="1"/>
    <col min="772" max="774" width="15.33203125" style="51" customWidth="1"/>
    <col min="775" max="1024" width="9.109375" style="51"/>
    <col min="1025" max="1025" width="49.33203125" style="51" customWidth="1"/>
    <col min="1026" max="1027" width="15" style="51" customWidth="1"/>
    <col min="1028" max="1030" width="15.33203125" style="51" customWidth="1"/>
    <col min="1031" max="1280" width="9.109375" style="51"/>
    <col min="1281" max="1281" width="49.33203125" style="51" customWidth="1"/>
    <col min="1282" max="1283" width="15" style="51" customWidth="1"/>
    <col min="1284" max="1286" width="15.33203125" style="51" customWidth="1"/>
    <col min="1287" max="1536" width="9.109375" style="51"/>
    <col min="1537" max="1537" width="49.33203125" style="51" customWidth="1"/>
    <col min="1538" max="1539" width="15" style="51" customWidth="1"/>
    <col min="1540" max="1542" width="15.33203125" style="51" customWidth="1"/>
    <col min="1543" max="1792" width="9.109375" style="51"/>
    <col min="1793" max="1793" width="49.33203125" style="51" customWidth="1"/>
    <col min="1794" max="1795" width="15" style="51" customWidth="1"/>
    <col min="1796" max="1798" width="15.33203125" style="51" customWidth="1"/>
    <col min="1799" max="2048" width="9.109375" style="51"/>
    <col min="2049" max="2049" width="49.33203125" style="51" customWidth="1"/>
    <col min="2050" max="2051" width="15" style="51" customWidth="1"/>
    <col min="2052" max="2054" width="15.33203125" style="51" customWidth="1"/>
    <col min="2055" max="2304" width="9.109375" style="51"/>
    <col min="2305" max="2305" width="49.33203125" style="51" customWidth="1"/>
    <col min="2306" max="2307" width="15" style="51" customWidth="1"/>
    <col min="2308" max="2310" width="15.33203125" style="51" customWidth="1"/>
    <col min="2311" max="2560" width="9.109375" style="51"/>
    <col min="2561" max="2561" width="49.33203125" style="51" customWidth="1"/>
    <col min="2562" max="2563" width="15" style="51" customWidth="1"/>
    <col min="2564" max="2566" width="15.33203125" style="51" customWidth="1"/>
    <col min="2567" max="2816" width="9.109375" style="51"/>
    <col min="2817" max="2817" width="49.33203125" style="51" customWidth="1"/>
    <col min="2818" max="2819" width="15" style="51" customWidth="1"/>
    <col min="2820" max="2822" width="15.33203125" style="51" customWidth="1"/>
    <col min="2823" max="3072" width="9.109375" style="51"/>
    <col min="3073" max="3073" width="49.33203125" style="51" customWidth="1"/>
    <col min="3074" max="3075" width="15" style="51" customWidth="1"/>
    <col min="3076" max="3078" width="15.33203125" style="51" customWidth="1"/>
    <col min="3079" max="3328" width="9.109375" style="51"/>
    <col min="3329" max="3329" width="49.33203125" style="51" customWidth="1"/>
    <col min="3330" max="3331" width="15" style="51" customWidth="1"/>
    <col min="3332" max="3334" width="15.33203125" style="51" customWidth="1"/>
    <col min="3335" max="3584" width="9.109375" style="51"/>
    <col min="3585" max="3585" width="49.33203125" style="51" customWidth="1"/>
    <col min="3586" max="3587" width="15" style="51" customWidth="1"/>
    <col min="3588" max="3590" width="15.33203125" style="51" customWidth="1"/>
    <col min="3591" max="3840" width="9.109375" style="51"/>
    <col min="3841" max="3841" width="49.33203125" style="51" customWidth="1"/>
    <col min="3842" max="3843" width="15" style="51" customWidth="1"/>
    <col min="3844" max="3846" width="15.33203125" style="51" customWidth="1"/>
    <col min="3847" max="4096" width="9.109375" style="51"/>
    <col min="4097" max="4097" width="49.33203125" style="51" customWidth="1"/>
    <col min="4098" max="4099" width="15" style="51" customWidth="1"/>
    <col min="4100" max="4102" width="15.33203125" style="51" customWidth="1"/>
    <col min="4103" max="4352" width="9.109375" style="51"/>
    <col min="4353" max="4353" width="49.33203125" style="51" customWidth="1"/>
    <col min="4354" max="4355" width="15" style="51" customWidth="1"/>
    <col min="4356" max="4358" width="15.33203125" style="51" customWidth="1"/>
    <col min="4359" max="4608" width="9.109375" style="51"/>
    <col min="4609" max="4609" width="49.33203125" style="51" customWidth="1"/>
    <col min="4610" max="4611" width="15" style="51" customWidth="1"/>
    <col min="4612" max="4614" width="15.33203125" style="51" customWidth="1"/>
    <col min="4615" max="4864" width="9.109375" style="51"/>
    <col min="4865" max="4865" width="49.33203125" style="51" customWidth="1"/>
    <col min="4866" max="4867" width="15" style="51" customWidth="1"/>
    <col min="4868" max="4870" width="15.33203125" style="51" customWidth="1"/>
    <col min="4871" max="5120" width="9.109375" style="51"/>
    <col min="5121" max="5121" width="49.33203125" style="51" customWidth="1"/>
    <col min="5122" max="5123" width="15" style="51" customWidth="1"/>
    <col min="5124" max="5126" width="15.33203125" style="51" customWidth="1"/>
    <col min="5127" max="5376" width="9.109375" style="51"/>
    <col min="5377" max="5377" width="49.33203125" style="51" customWidth="1"/>
    <col min="5378" max="5379" width="15" style="51" customWidth="1"/>
    <col min="5380" max="5382" width="15.33203125" style="51" customWidth="1"/>
    <col min="5383" max="5632" width="9.109375" style="51"/>
    <col min="5633" max="5633" width="49.33203125" style="51" customWidth="1"/>
    <col min="5634" max="5635" width="15" style="51" customWidth="1"/>
    <col min="5636" max="5638" width="15.33203125" style="51" customWidth="1"/>
    <col min="5639" max="5888" width="9.109375" style="51"/>
    <col min="5889" max="5889" width="49.33203125" style="51" customWidth="1"/>
    <col min="5890" max="5891" width="15" style="51" customWidth="1"/>
    <col min="5892" max="5894" width="15.33203125" style="51" customWidth="1"/>
    <col min="5895" max="6144" width="9.109375" style="51"/>
    <col min="6145" max="6145" width="49.33203125" style="51" customWidth="1"/>
    <col min="6146" max="6147" width="15" style="51" customWidth="1"/>
    <col min="6148" max="6150" width="15.33203125" style="51" customWidth="1"/>
    <col min="6151" max="6400" width="9.109375" style="51"/>
    <col min="6401" max="6401" width="49.33203125" style="51" customWidth="1"/>
    <col min="6402" max="6403" width="15" style="51" customWidth="1"/>
    <col min="6404" max="6406" width="15.33203125" style="51" customWidth="1"/>
    <col min="6407" max="6656" width="9.109375" style="51"/>
    <col min="6657" max="6657" width="49.33203125" style="51" customWidth="1"/>
    <col min="6658" max="6659" width="15" style="51" customWidth="1"/>
    <col min="6660" max="6662" width="15.33203125" style="51" customWidth="1"/>
    <col min="6663" max="6912" width="9.109375" style="51"/>
    <col min="6913" max="6913" width="49.33203125" style="51" customWidth="1"/>
    <col min="6914" max="6915" width="15" style="51" customWidth="1"/>
    <col min="6916" max="6918" width="15.33203125" style="51" customWidth="1"/>
    <col min="6919" max="7168" width="9.109375" style="51"/>
    <col min="7169" max="7169" width="49.33203125" style="51" customWidth="1"/>
    <col min="7170" max="7171" width="15" style="51" customWidth="1"/>
    <col min="7172" max="7174" width="15.33203125" style="51" customWidth="1"/>
    <col min="7175" max="7424" width="9.109375" style="51"/>
    <col min="7425" max="7425" width="49.33203125" style="51" customWidth="1"/>
    <col min="7426" max="7427" width="15" style="51" customWidth="1"/>
    <col min="7428" max="7430" width="15.33203125" style="51" customWidth="1"/>
    <col min="7431" max="7680" width="9.109375" style="51"/>
    <col min="7681" max="7681" width="49.33203125" style="51" customWidth="1"/>
    <col min="7682" max="7683" width="15" style="51" customWidth="1"/>
    <col min="7684" max="7686" width="15.33203125" style="51" customWidth="1"/>
    <col min="7687" max="7936" width="9.109375" style="51"/>
    <col min="7937" max="7937" width="49.33203125" style="51" customWidth="1"/>
    <col min="7938" max="7939" width="15" style="51" customWidth="1"/>
    <col min="7940" max="7942" width="15.33203125" style="51" customWidth="1"/>
    <col min="7943" max="8192" width="9.109375" style="51"/>
    <col min="8193" max="8193" width="49.33203125" style="51" customWidth="1"/>
    <col min="8194" max="8195" width="15" style="51" customWidth="1"/>
    <col min="8196" max="8198" width="15.33203125" style="51" customWidth="1"/>
    <col min="8199" max="8448" width="9.109375" style="51"/>
    <col min="8449" max="8449" width="49.33203125" style="51" customWidth="1"/>
    <col min="8450" max="8451" width="15" style="51" customWidth="1"/>
    <col min="8452" max="8454" width="15.33203125" style="51" customWidth="1"/>
    <col min="8455" max="8704" width="9.109375" style="51"/>
    <col min="8705" max="8705" width="49.33203125" style="51" customWidth="1"/>
    <col min="8706" max="8707" width="15" style="51" customWidth="1"/>
    <col min="8708" max="8710" width="15.33203125" style="51" customWidth="1"/>
    <col min="8711" max="8960" width="9.109375" style="51"/>
    <col min="8961" max="8961" width="49.33203125" style="51" customWidth="1"/>
    <col min="8962" max="8963" width="15" style="51" customWidth="1"/>
    <col min="8964" max="8966" width="15.33203125" style="51" customWidth="1"/>
    <col min="8967" max="9216" width="9.109375" style="51"/>
    <col min="9217" max="9217" width="49.33203125" style="51" customWidth="1"/>
    <col min="9218" max="9219" width="15" style="51" customWidth="1"/>
    <col min="9220" max="9222" width="15.33203125" style="51" customWidth="1"/>
    <col min="9223" max="9472" width="9.109375" style="51"/>
    <col min="9473" max="9473" width="49.33203125" style="51" customWidth="1"/>
    <col min="9474" max="9475" width="15" style="51" customWidth="1"/>
    <col min="9476" max="9478" width="15.33203125" style="51" customWidth="1"/>
    <col min="9479" max="9728" width="9.109375" style="51"/>
    <col min="9729" max="9729" width="49.33203125" style="51" customWidth="1"/>
    <col min="9730" max="9731" width="15" style="51" customWidth="1"/>
    <col min="9732" max="9734" width="15.33203125" style="51" customWidth="1"/>
    <col min="9735" max="9984" width="9.109375" style="51"/>
    <col min="9985" max="9985" width="49.33203125" style="51" customWidth="1"/>
    <col min="9986" max="9987" width="15" style="51" customWidth="1"/>
    <col min="9988" max="9990" width="15.33203125" style="51" customWidth="1"/>
    <col min="9991" max="10240" width="9.109375" style="51"/>
    <col min="10241" max="10241" width="49.33203125" style="51" customWidth="1"/>
    <col min="10242" max="10243" width="15" style="51" customWidth="1"/>
    <col min="10244" max="10246" width="15.33203125" style="51" customWidth="1"/>
    <col min="10247" max="10496" width="9.109375" style="51"/>
    <col min="10497" max="10497" width="49.33203125" style="51" customWidth="1"/>
    <col min="10498" max="10499" width="15" style="51" customWidth="1"/>
    <col min="10500" max="10502" width="15.33203125" style="51" customWidth="1"/>
    <col min="10503" max="10752" width="9.109375" style="51"/>
    <col min="10753" max="10753" width="49.33203125" style="51" customWidth="1"/>
    <col min="10754" max="10755" width="15" style="51" customWidth="1"/>
    <col min="10756" max="10758" width="15.33203125" style="51" customWidth="1"/>
    <col min="10759" max="11008" width="9.109375" style="51"/>
    <col min="11009" max="11009" width="49.33203125" style="51" customWidth="1"/>
    <col min="11010" max="11011" width="15" style="51" customWidth="1"/>
    <col min="11012" max="11014" width="15.33203125" style="51" customWidth="1"/>
    <col min="11015" max="11264" width="9.109375" style="51"/>
    <col min="11265" max="11265" width="49.33203125" style="51" customWidth="1"/>
    <col min="11266" max="11267" width="15" style="51" customWidth="1"/>
    <col min="11268" max="11270" width="15.33203125" style="51" customWidth="1"/>
    <col min="11271" max="11520" width="9.109375" style="51"/>
    <col min="11521" max="11521" width="49.33203125" style="51" customWidth="1"/>
    <col min="11522" max="11523" width="15" style="51" customWidth="1"/>
    <col min="11524" max="11526" width="15.33203125" style="51" customWidth="1"/>
    <col min="11527" max="11776" width="9.109375" style="51"/>
    <col min="11777" max="11777" width="49.33203125" style="51" customWidth="1"/>
    <col min="11778" max="11779" width="15" style="51" customWidth="1"/>
    <col min="11780" max="11782" width="15.33203125" style="51" customWidth="1"/>
    <col min="11783" max="12032" width="9.109375" style="51"/>
    <col min="12033" max="12033" width="49.33203125" style="51" customWidth="1"/>
    <col min="12034" max="12035" width="15" style="51" customWidth="1"/>
    <col min="12036" max="12038" width="15.33203125" style="51" customWidth="1"/>
    <col min="12039" max="12288" width="9.109375" style="51"/>
    <col min="12289" max="12289" width="49.33203125" style="51" customWidth="1"/>
    <col min="12290" max="12291" width="15" style="51" customWidth="1"/>
    <col min="12292" max="12294" width="15.33203125" style="51" customWidth="1"/>
    <col min="12295" max="12544" width="9.109375" style="51"/>
    <col min="12545" max="12545" width="49.33203125" style="51" customWidth="1"/>
    <col min="12546" max="12547" width="15" style="51" customWidth="1"/>
    <col min="12548" max="12550" width="15.33203125" style="51" customWidth="1"/>
    <col min="12551" max="12800" width="9.109375" style="51"/>
    <col min="12801" max="12801" width="49.33203125" style="51" customWidth="1"/>
    <col min="12802" max="12803" width="15" style="51" customWidth="1"/>
    <col min="12804" max="12806" width="15.33203125" style="51" customWidth="1"/>
    <col min="12807" max="13056" width="9.109375" style="51"/>
    <col min="13057" max="13057" width="49.33203125" style="51" customWidth="1"/>
    <col min="13058" max="13059" width="15" style="51" customWidth="1"/>
    <col min="13060" max="13062" width="15.33203125" style="51" customWidth="1"/>
    <col min="13063" max="13312" width="9.109375" style="51"/>
    <col min="13313" max="13313" width="49.33203125" style="51" customWidth="1"/>
    <col min="13314" max="13315" width="15" style="51" customWidth="1"/>
    <col min="13316" max="13318" width="15.33203125" style="51" customWidth="1"/>
    <col min="13319" max="13568" width="9.109375" style="51"/>
    <col min="13569" max="13569" width="49.33203125" style="51" customWidth="1"/>
    <col min="13570" max="13571" width="15" style="51" customWidth="1"/>
    <col min="13572" max="13574" width="15.33203125" style="51" customWidth="1"/>
    <col min="13575" max="13824" width="9.109375" style="51"/>
    <col min="13825" max="13825" width="49.33203125" style="51" customWidth="1"/>
    <col min="13826" max="13827" width="15" style="51" customWidth="1"/>
    <col min="13828" max="13830" width="15.33203125" style="51" customWidth="1"/>
    <col min="13831" max="14080" width="9.109375" style="51"/>
    <col min="14081" max="14081" width="49.33203125" style="51" customWidth="1"/>
    <col min="14082" max="14083" width="15" style="51" customWidth="1"/>
    <col min="14084" max="14086" width="15.33203125" style="51" customWidth="1"/>
    <col min="14087" max="14336" width="9.109375" style="51"/>
    <col min="14337" max="14337" width="49.33203125" style="51" customWidth="1"/>
    <col min="14338" max="14339" width="15" style="51" customWidth="1"/>
    <col min="14340" max="14342" width="15.33203125" style="51" customWidth="1"/>
    <col min="14343" max="14592" width="9.109375" style="51"/>
    <col min="14593" max="14593" width="49.33203125" style="51" customWidth="1"/>
    <col min="14594" max="14595" width="15" style="51" customWidth="1"/>
    <col min="14596" max="14598" width="15.33203125" style="51" customWidth="1"/>
    <col min="14599" max="14848" width="9.109375" style="51"/>
    <col min="14849" max="14849" width="49.33203125" style="51" customWidth="1"/>
    <col min="14850" max="14851" width="15" style="51" customWidth="1"/>
    <col min="14852" max="14854" width="15.33203125" style="51" customWidth="1"/>
    <col min="14855" max="15104" width="9.109375" style="51"/>
    <col min="15105" max="15105" width="49.33203125" style="51" customWidth="1"/>
    <col min="15106" max="15107" width="15" style="51" customWidth="1"/>
    <col min="15108" max="15110" width="15.33203125" style="51" customWidth="1"/>
    <col min="15111" max="15360" width="9.109375" style="51"/>
    <col min="15361" max="15361" width="49.33203125" style="51" customWidth="1"/>
    <col min="15362" max="15363" width="15" style="51" customWidth="1"/>
    <col min="15364" max="15366" width="15.33203125" style="51" customWidth="1"/>
    <col min="15367" max="15616" width="9.109375" style="51"/>
    <col min="15617" max="15617" width="49.33203125" style="51" customWidth="1"/>
    <col min="15618" max="15619" width="15" style="51" customWidth="1"/>
    <col min="15620" max="15622" width="15.33203125" style="51" customWidth="1"/>
    <col min="15623" max="15872" width="9.109375" style="51"/>
    <col min="15873" max="15873" width="49.33203125" style="51" customWidth="1"/>
    <col min="15874" max="15875" width="15" style="51" customWidth="1"/>
    <col min="15876" max="15878" width="15.33203125" style="51" customWidth="1"/>
    <col min="15879" max="16128" width="9.109375" style="51"/>
    <col min="16129" max="16129" width="49.33203125" style="51" customWidth="1"/>
    <col min="16130" max="16131" width="15" style="51" customWidth="1"/>
    <col min="16132" max="16134" width="15.33203125" style="51" customWidth="1"/>
    <col min="16135" max="16384" width="9.109375" style="51"/>
  </cols>
  <sheetData>
    <row r="1" spans="1:6" ht="31.5" customHeight="1" thickBot="1" x14ac:dyDescent="0.35">
      <c r="A1" s="42" t="s">
        <v>110</v>
      </c>
      <c r="B1" s="42"/>
      <c r="C1" s="114"/>
      <c r="D1" s="114"/>
      <c r="E1" s="114"/>
      <c r="F1" s="114"/>
    </row>
    <row r="2" spans="1:6" ht="18.75" customHeight="1" x14ac:dyDescent="0.3">
      <c r="A2" s="45"/>
      <c r="B2" s="46">
        <v>1980</v>
      </c>
      <c r="C2" s="46">
        <v>1997</v>
      </c>
      <c r="D2" s="46">
        <v>2002</v>
      </c>
      <c r="E2" s="46">
        <v>2007</v>
      </c>
      <c r="F2" s="46">
        <v>2012</v>
      </c>
    </row>
    <row r="3" spans="1:6" x14ac:dyDescent="0.3">
      <c r="B3" s="131" t="s">
        <v>51</v>
      </c>
      <c r="C3" s="139"/>
      <c r="D3" s="139"/>
      <c r="E3" s="139"/>
      <c r="F3" s="115"/>
    </row>
    <row r="4" spans="1:6" x14ac:dyDescent="0.3">
      <c r="A4" s="47" t="s">
        <v>52</v>
      </c>
      <c r="B4" s="47"/>
    </row>
    <row r="5" spans="1:6" x14ac:dyDescent="0.3">
      <c r="A5" s="51" t="s">
        <v>53</v>
      </c>
      <c r="B5" s="60">
        <v>586947</v>
      </c>
      <c r="C5" s="60">
        <v>2591306</v>
      </c>
      <c r="D5" s="60">
        <v>3302211</v>
      </c>
      <c r="E5" s="60">
        <v>6758489</v>
      </c>
      <c r="F5" s="60">
        <v>8411985</v>
      </c>
    </row>
    <row r="6" spans="1:6" x14ac:dyDescent="0.3">
      <c r="A6" s="51" t="s">
        <v>93</v>
      </c>
      <c r="B6" s="60">
        <f>311692+102999</f>
        <v>414691</v>
      </c>
      <c r="C6" s="60">
        <f>1217376+487817</f>
        <v>1705193</v>
      </c>
      <c r="D6" s="60">
        <v>3622543</v>
      </c>
      <c r="E6" s="60">
        <v>4508382</v>
      </c>
      <c r="F6" s="60">
        <v>4231506</v>
      </c>
    </row>
    <row r="7" spans="1:6" ht="15.75" customHeight="1" x14ac:dyDescent="0.45">
      <c r="A7" s="51" t="s">
        <v>54</v>
      </c>
      <c r="B7" s="62" t="s">
        <v>87</v>
      </c>
      <c r="C7" s="62">
        <v>582254</v>
      </c>
      <c r="D7" s="62">
        <v>654109</v>
      </c>
      <c r="E7" s="62">
        <v>122757</v>
      </c>
      <c r="F7" s="62">
        <v>900484</v>
      </c>
    </row>
    <row r="8" spans="1:6" ht="17.399999999999999" x14ac:dyDescent="0.45">
      <c r="A8" s="51" t="s">
        <v>58</v>
      </c>
      <c r="B8" s="105">
        <f>SUM(B5:B7)</f>
        <v>1001638</v>
      </c>
      <c r="C8" s="105">
        <f>SUM(C5:C7)</f>
        <v>4878753</v>
      </c>
      <c r="D8" s="105">
        <f>SUM(D5:D7)</f>
        <v>7578863</v>
      </c>
      <c r="E8" s="105">
        <f>SUM(E5:E7)</f>
        <v>11389628</v>
      </c>
      <c r="F8" s="105">
        <v>13543976</v>
      </c>
    </row>
    <row r="9" spans="1:6" ht="30.75" customHeight="1" x14ac:dyDescent="0.3">
      <c r="A9" s="51" t="s">
        <v>59</v>
      </c>
      <c r="B9" s="60">
        <v>444660</v>
      </c>
      <c r="C9" s="60">
        <v>1997950</v>
      </c>
      <c r="D9" s="60">
        <v>2810056</v>
      </c>
      <c r="E9" s="60">
        <v>5867772</v>
      </c>
      <c r="F9" s="60">
        <v>6697684</v>
      </c>
    </row>
    <row r="10" spans="1:6" ht="17.399999999999999" x14ac:dyDescent="0.45">
      <c r="A10" s="51" t="s">
        <v>60</v>
      </c>
      <c r="B10" s="62">
        <v>144650</v>
      </c>
      <c r="C10" s="62">
        <v>935204</v>
      </c>
      <c r="D10" s="62">
        <v>2255429</v>
      </c>
      <c r="E10" s="62">
        <v>2373282</v>
      </c>
      <c r="F10" s="62">
        <v>3426354</v>
      </c>
    </row>
    <row r="11" spans="1:6" x14ac:dyDescent="0.3">
      <c r="A11" s="51" t="s">
        <v>61</v>
      </c>
      <c r="B11" s="60">
        <f>SUM(B9:B10)</f>
        <v>589310</v>
      </c>
      <c r="C11" s="60">
        <f>SUM(C9:C10)</f>
        <v>2933154</v>
      </c>
      <c r="D11" s="60">
        <f>SUM(D9:D10)</f>
        <v>5065485</v>
      </c>
      <c r="E11" s="60">
        <f>SUM(E9:E10)</f>
        <v>8241054</v>
      </c>
      <c r="F11" s="60">
        <v>10124038</v>
      </c>
    </row>
    <row r="12" spans="1:6" ht="30" customHeight="1" x14ac:dyDescent="0.3">
      <c r="A12" s="51" t="s">
        <v>62</v>
      </c>
      <c r="B12" s="65">
        <v>412328</v>
      </c>
      <c r="C12" s="65">
        <v>1945599</v>
      </c>
      <c r="D12" s="65">
        <v>2513378</v>
      </c>
      <c r="E12" s="65">
        <v>3148574</v>
      </c>
      <c r="F12" s="65">
        <v>3419938</v>
      </c>
    </row>
    <row r="13" spans="1:6" ht="27" customHeight="1" x14ac:dyDescent="0.45">
      <c r="A13" s="51" t="s">
        <v>63</v>
      </c>
      <c r="B13" s="105">
        <f>B12+B11</f>
        <v>1001638</v>
      </c>
      <c r="C13" s="105">
        <f>C12+C11</f>
        <v>4878753</v>
      </c>
      <c r="D13" s="105">
        <f>D12+D11</f>
        <v>7578863</v>
      </c>
      <c r="E13" s="105">
        <f>E12+E11</f>
        <v>11389628</v>
      </c>
      <c r="F13" s="105">
        <v>13543976</v>
      </c>
    </row>
    <row r="14" spans="1:6" x14ac:dyDescent="0.3">
      <c r="B14" s="60"/>
      <c r="E14" s="60"/>
      <c r="F14" s="60"/>
    </row>
    <row r="15" spans="1:6" x14ac:dyDescent="0.3">
      <c r="A15" s="47" t="s">
        <v>64</v>
      </c>
      <c r="B15" s="60"/>
      <c r="E15" s="60"/>
      <c r="F15" s="60"/>
    </row>
    <row r="16" spans="1:6" x14ac:dyDescent="0.3">
      <c r="A16" s="51" t="s">
        <v>65</v>
      </c>
      <c r="B16" s="60">
        <v>4176427</v>
      </c>
      <c r="C16" s="60">
        <v>15920600</v>
      </c>
      <c r="D16" s="60">
        <v>17819484</v>
      </c>
      <c r="E16" s="60">
        <v>32652135</v>
      </c>
      <c r="F16" s="60">
        <v>34462096</v>
      </c>
    </row>
    <row r="17" spans="1:6" x14ac:dyDescent="0.3">
      <c r="A17" s="51" t="s">
        <v>96</v>
      </c>
      <c r="B17" s="60">
        <v>173912</v>
      </c>
      <c r="C17" s="60">
        <f>1916800+366700</f>
        <v>2283500</v>
      </c>
      <c r="D17" s="60">
        <f>(17942269-D16)+631932+2315198</f>
        <v>3069915</v>
      </c>
      <c r="E17" s="60">
        <v>4887529</v>
      </c>
      <c r="F17" s="60">
        <v>10506343</v>
      </c>
    </row>
    <row r="18" spans="1:6" x14ac:dyDescent="0.3">
      <c r="A18" s="51" t="s">
        <v>67</v>
      </c>
      <c r="B18" s="60">
        <v>22210</v>
      </c>
      <c r="C18" s="60">
        <v>119500</v>
      </c>
      <c r="D18" s="60">
        <v>365142</v>
      </c>
      <c r="E18" s="60">
        <f>294208+15437</f>
        <v>309645</v>
      </c>
      <c r="F18" s="60">
        <v>287857</v>
      </c>
    </row>
    <row r="19" spans="1:6" ht="17.399999999999999" x14ac:dyDescent="0.45">
      <c r="A19" s="51" t="s">
        <v>68</v>
      </c>
      <c r="B19" s="62" t="s">
        <v>87</v>
      </c>
      <c r="C19" s="62">
        <v>65800</v>
      </c>
      <c r="D19" s="62">
        <v>48598</v>
      </c>
      <c r="E19" s="62">
        <v>5907</v>
      </c>
      <c r="F19" s="62">
        <v>1487</v>
      </c>
    </row>
    <row r="20" spans="1:6" x14ac:dyDescent="0.3">
      <c r="A20" s="51" t="s">
        <v>69</v>
      </c>
      <c r="B20" s="60">
        <f>SUM(B16:B19)</f>
        <v>4372549</v>
      </c>
      <c r="C20" s="60">
        <f>SUM(C16:C19)</f>
        <v>18389400</v>
      </c>
      <c r="D20" s="60">
        <f>SUM(D16:D19)</f>
        <v>21303139</v>
      </c>
      <c r="E20" s="60">
        <f>SUM(E16:E19)</f>
        <v>37855216</v>
      </c>
      <c r="F20" s="60">
        <v>45257783</v>
      </c>
    </row>
    <row r="21" spans="1:6" ht="26.25" customHeight="1" x14ac:dyDescent="0.45">
      <c r="A21" s="51" t="s">
        <v>70</v>
      </c>
      <c r="B21" s="62">
        <v>4273451</v>
      </c>
      <c r="C21" s="62">
        <v>18130900</v>
      </c>
      <c r="D21" s="62">
        <f>D20-D24</f>
        <v>21009912</v>
      </c>
      <c r="E21" s="62">
        <v>37473439</v>
      </c>
      <c r="F21" s="62">
        <v>44971371</v>
      </c>
    </row>
    <row r="22" spans="1:6" s="116" customFormat="1" hidden="1" x14ac:dyDescent="0.3">
      <c r="A22" s="116" t="s">
        <v>97</v>
      </c>
      <c r="B22" s="117"/>
      <c r="C22" s="117">
        <f>C23-C24</f>
        <v>71000</v>
      </c>
      <c r="D22" s="117">
        <v>110486</v>
      </c>
      <c r="E22" s="118" t="s">
        <v>98</v>
      </c>
      <c r="F22" s="118">
        <v>286412.28202999802</v>
      </c>
    </row>
    <row r="23" spans="1:6" s="116" customFormat="1" hidden="1" x14ac:dyDescent="0.3">
      <c r="A23" s="116" t="s">
        <v>99</v>
      </c>
      <c r="B23" s="117"/>
      <c r="C23" s="117">
        <v>329500</v>
      </c>
      <c r="D23" s="117">
        <f>D24+D22</f>
        <v>403713</v>
      </c>
      <c r="E23" s="117"/>
      <c r="F23" s="117">
        <v>300459.88500000001</v>
      </c>
    </row>
    <row r="24" spans="1:6" ht="30.75" customHeight="1" x14ac:dyDescent="0.45">
      <c r="A24" s="50" t="s">
        <v>89</v>
      </c>
      <c r="B24" s="107">
        <v>99098</v>
      </c>
      <c r="C24" s="107">
        <v>258500</v>
      </c>
      <c r="D24" s="107">
        <v>293227</v>
      </c>
      <c r="E24" s="107">
        <f>E20-E21</f>
        <v>381777</v>
      </c>
      <c r="F24" s="107">
        <v>286412</v>
      </c>
    </row>
    <row r="25" spans="1:6" ht="45" customHeight="1" x14ac:dyDescent="0.3">
      <c r="A25" s="119" t="s">
        <v>42</v>
      </c>
      <c r="B25" s="65">
        <v>110</v>
      </c>
      <c r="C25" s="65">
        <v>20</v>
      </c>
      <c r="D25" s="65">
        <v>16</v>
      </c>
      <c r="E25" s="64">
        <v>25</v>
      </c>
      <c r="F25" s="64">
        <v>25</v>
      </c>
    </row>
    <row r="26" spans="1:6" ht="44.25" customHeight="1" x14ac:dyDescent="0.3">
      <c r="A26" s="116"/>
      <c r="B26" s="116"/>
    </row>
    <row r="27" spans="1:6" ht="16.2" thickBot="1" x14ac:dyDescent="0.35">
      <c r="A27" s="42" t="s">
        <v>111</v>
      </c>
      <c r="B27" s="42"/>
      <c r="C27" s="42"/>
      <c r="D27" s="42"/>
      <c r="E27" s="42"/>
      <c r="F27" s="42"/>
    </row>
    <row r="28" spans="1:6" ht="21.75" customHeight="1" x14ac:dyDescent="0.3">
      <c r="A28" s="45"/>
      <c r="B28" s="46">
        <v>1980</v>
      </c>
      <c r="C28" s="46">
        <v>1997</v>
      </c>
      <c r="D28" s="46">
        <v>2002</v>
      </c>
      <c r="E28" s="46">
        <v>2007</v>
      </c>
      <c r="F28" s="46">
        <v>2012</v>
      </c>
    </row>
    <row r="29" spans="1:6" ht="29.25" customHeight="1" x14ac:dyDescent="0.3">
      <c r="A29" s="47" t="s">
        <v>74</v>
      </c>
      <c r="B29" s="138" t="s">
        <v>75</v>
      </c>
      <c r="C29" s="139"/>
      <c r="D29" s="139"/>
      <c r="E29" s="139"/>
      <c r="F29" s="51"/>
    </row>
    <row r="30" spans="1:6" x14ac:dyDescent="0.3">
      <c r="A30" s="51" t="s">
        <v>76</v>
      </c>
      <c r="B30" s="70">
        <f>B5/B9</f>
        <v>1.3199905545810282</v>
      </c>
      <c r="C30" s="70">
        <f>C5/C9</f>
        <v>1.2969824069671414</v>
      </c>
      <c r="D30" s="70">
        <f>D5/D9</f>
        <v>1.1751406377666496</v>
      </c>
      <c r="E30" s="70">
        <f>E5/E9</f>
        <v>1.1517981612100812</v>
      </c>
      <c r="F30" s="70">
        <v>1.26</v>
      </c>
    </row>
    <row r="31" spans="1:6" x14ac:dyDescent="0.3">
      <c r="A31" s="51" t="s">
        <v>77</v>
      </c>
      <c r="B31" s="70">
        <f>B9/B8</f>
        <v>0.44393283801133743</v>
      </c>
      <c r="C31" s="70">
        <f>C9/C8</f>
        <v>0.4095206295543144</v>
      </c>
      <c r="D31" s="70">
        <f>D9/D8</f>
        <v>0.37077540522899016</v>
      </c>
      <c r="E31" s="70">
        <f>E9/E8</f>
        <v>0.51518557059106762</v>
      </c>
      <c r="F31" s="70">
        <v>0.49</v>
      </c>
    </row>
    <row r="32" spans="1:6" x14ac:dyDescent="0.3">
      <c r="A32" s="51" t="s">
        <v>78</v>
      </c>
      <c r="B32" s="70">
        <f>B10/B12</f>
        <v>0.35081294503405058</v>
      </c>
      <c r="C32" s="70">
        <f>C10/C12</f>
        <v>0.48067664508462432</v>
      </c>
      <c r="D32" s="70">
        <f>D10/D12</f>
        <v>0.89736959581885412</v>
      </c>
      <c r="E32" s="70">
        <f>E10/E12</f>
        <v>0.75376408494766201</v>
      </c>
      <c r="F32" s="70">
        <v>1</v>
      </c>
    </row>
    <row r="33" spans="1:6" x14ac:dyDescent="0.3">
      <c r="A33" s="51" t="s">
        <v>79</v>
      </c>
      <c r="B33" s="70">
        <v>0.75</v>
      </c>
      <c r="C33" s="70">
        <f>C11/C8</f>
        <v>0.6012097763506371</v>
      </c>
      <c r="D33" s="70">
        <f>D11/D8</f>
        <v>0.66837004442486958</v>
      </c>
      <c r="E33" s="70">
        <f>E11/E8</f>
        <v>0.72355778432798679</v>
      </c>
      <c r="F33" s="70">
        <v>0.75</v>
      </c>
    </row>
    <row r="34" spans="1:6" x14ac:dyDescent="0.3">
      <c r="A34" s="51" t="s">
        <v>80</v>
      </c>
      <c r="B34" s="70">
        <f>B12/(B6)</f>
        <v>0.99430178132633695</v>
      </c>
      <c r="C34" s="70">
        <f>C12/(C6+C7)</f>
        <v>0.85055478881040736</v>
      </c>
      <c r="D34" s="70">
        <f>D12/(D6+D7)</f>
        <v>0.58769757277421686</v>
      </c>
      <c r="E34" s="70">
        <f>E12/(E6+E7)</f>
        <v>0.67987032995554653</v>
      </c>
      <c r="F34" s="70">
        <v>0.67</v>
      </c>
    </row>
    <row r="35" spans="1:6" x14ac:dyDescent="0.3">
      <c r="A35" s="51" t="s">
        <v>81</v>
      </c>
      <c r="B35" s="70">
        <f>B12/B8</f>
        <v>0.41165371122101996</v>
      </c>
      <c r="C35" s="70">
        <f>C12/C8</f>
        <v>0.39879022364936284</v>
      </c>
      <c r="D35" s="70">
        <f>D12/D8</f>
        <v>0.33162995557513048</v>
      </c>
      <c r="E35" s="70">
        <f>E12/E8</f>
        <v>0.27644221567201316</v>
      </c>
      <c r="F35" s="70">
        <v>0.25</v>
      </c>
    </row>
    <row r="36" spans="1:6" ht="27.75" customHeight="1" x14ac:dyDescent="0.3">
      <c r="A36" s="47" t="s">
        <v>82</v>
      </c>
      <c r="B36" s="136" t="s">
        <v>91</v>
      </c>
      <c r="C36" s="140"/>
      <c r="D36" s="140"/>
      <c r="E36" s="140"/>
      <c r="F36" s="51"/>
    </row>
    <row r="37" spans="1:6" x14ac:dyDescent="0.3">
      <c r="A37" s="51" t="s">
        <v>84</v>
      </c>
      <c r="B37" s="71">
        <f>B24/B12*100</f>
        <v>24.03377893327642</v>
      </c>
      <c r="C37" s="71">
        <f>C24/C12*100</f>
        <v>13.286396631577215</v>
      </c>
      <c r="D37" s="71">
        <f>D24/D12*100</f>
        <v>11.666649425593763</v>
      </c>
      <c r="E37" s="71">
        <f>E24/E12*100</f>
        <v>12.125393908480474</v>
      </c>
      <c r="F37" s="71">
        <v>8.4</v>
      </c>
    </row>
    <row r="38" spans="1:6" x14ac:dyDescent="0.3">
      <c r="A38" s="51" t="s">
        <v>85</v>
      </c>
      <c r="B38" s="71">
        <f>B24/B8*100</f>
        <v>9.893594292548805</v>
      </c>
      <c r="C38" s="71">
        <f>C24/C8*100</f>
        <v>5.2984850842008191</v>
      </c>
      <c r="D38" s="71">
        <f>D24/D8*100</f>
        <v>3.8690104307202806</v>
      </c>
      <c r="E38" s="71">
        <f>E24/E8*100</f>
        <v>3.3519707579562743</v>
      </c>
      <c r="F38" s="71">
        <v>2.1</v>
      </c>
    </row>
    <row r="39" spans="1:6" x14ac:dyDescent="0.3">
      <c r="A39" s="50" t="s">
        <v>86</v>
      </c>
      <c r="B39" s="72">
        <f>B24/B20*100</f>
        <v>2.2663668263065775</v>
      </c>
      <c r="C39" s="72">
        <f>C24/C20*100</f>
        <v>1.4057011104223085</v>
      </c>
      <c r="D39" s="72">
        <f>D24/D20*100</f>
        <v>1.3764497335345744</v>
      </c>
      <c r="E39" s="72">
        <f>E24/E20*100</f>
        <v>1.0085188788778805</v>
      </c>
      <c r="F39" s="72">
        <v>0.6</v>
      </c>
    </row>
    <row r="40" spans="1:6" ht="45" customHeight="1" thickBot="1" x14ac:dyDescent="0.35">
      <c r="A40" s="13" t="s">
        <v>42</v>
      </c>
      <c r="B40" s="43">
        <v>110</v>
      </c>
      <c r="C40" s="43">
        <v>20</v>
      </c>
      <c r="D40" s="43">
        <v>16</v>
      </c>
      <c r="E40" s="42">
        <v>25</v>
      </c>
      <c r="F40" s="42">
        <v>25</v>
      </c>
    </row>
  </sheetData>
  <mergeCells count="3">
    <mergeCell ref="B3:E3"/>
    <mergeCell ref="B29:E29"/>
    <mergeCell ref="B36:E36"/>
  </mergeCells>
  <pageMargins left="0.5" right="0.16" top="0.98" bottom="0.27" header="0.5" footer="0.28000000000000003"/>
  <pageSetup scale="98" orientation="landscape" r:id="rId1"/>
  <headerFooter alignWithMargins="0"/>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B18" sqref="B18"/>
    </sheetView>
  </sheetViews>
  <sheetFormatPr defaultColWidth="9.109375" defaultRowHeight="14.4" x14ac:dyDescent="0.3"/>
  <cols>
    <col min="1" max="1" width="25" style="3" bestFit="1" customWidth="1"/>
    <col min="2" max="2" width="123.88671875" style="3" customWidth="1"/>
    <col min="3" max="3" width="38.44140625" style="3" customWidth="1"/>
    <col min="4" max="16384" width="9.109375" style="3"/>
  </cols>
  <sheetData>
    <row r="1" spans="1:2" x14ac:dyDescent="0.3">
      <c r="A1" s="1" t="s">
        <v>17</v>
      </c>
      <c r="B1" s="1" t="s">
        <v>18</v>
      </c>
    </row>
    <row r="2" spans="1:2" x14ac:dyDescent="0.3">
      <c r="A2" s="2" t="s">
        <v>0</v>
      </c>
      <c r="B2" s="2" t="s">
        <v>9</v>
      </c>
    </row>
    <row r="3" spans="1:2" x14ac:dyDescent="0.3">
      <c r="A3" s="2" t="s">
        <v>1</v>
      </c>
      <c r="B3" s="2" t="s">
        <v>10</v>
      </c>
    </row>
    <row r="4" spans="1:2" x14ac:dyDescent="0.3">
      <c r="A4" s="2" t="s">
        <v>2</v>
      </c>
      <c r="B4" s="2" t="s">
        <v>100</v>
      </c>
    </row>
    <row r="5" spans="1:2" ht="28.8" x14ac:dyDescent="0.3">
      <c r="A5" s="2" t="s">
        <v>3</v>
      </c>
      <c r="B5" s="2" t="s">
        <v>11</v>
      </c>
    </row>
    <row r="6" spans="1:2" ht="28.8" x14ac:dyDescent="0.3">
      <c r="A6" s="2" t="s">
        <v>4</v>
      </c>
      <c r="B6" s="2" t="s">
        <v>12</v>
      </c>
    </row>
    <row r="7" spans="1:2" ht="28.8" x14ac:dyDescent="0.3">
      <c r="A7" s="2" t="s">
        <v>5</v>
      </c>
      <c r="B7" s="2" t="s">
        <v>13</v>
      </c>
    </row>
    <row r="8" spans="1:2" ht="28.8" x14ac:dyDescent="0.3">
      <c r="A8" s="2" t="s">
        <v>6</v>
      </c>
      <c r="B8" s="2" t="s">
        <v>14</v>
      </c>
    </row>
    <row r="9" spans="1:2" ht="43.2" x14ac:dyDescent="0.3">
      <c r="A9" s="2" t="s">
        <v>7</v>
      </c>
      <c r="B9" s="2" t="s">
        <v>15</v>
      </c>
    </row>
    <row r="10" spans="1:2" ht="28.8" x14ac:dyDescent="0.3">
      <c r="A10" s="2" t="s">
        <v>8</v>
      </c>
      <c r="B10" s="2" t="s">
        <v>16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
    </sheetView>
  </sheetViews>
  <sheetFormatPr defaultRowHeight="14.4" x14ac:dyDescent="0.3"/>
  <cols>
    <col min="1" max="1" width="104.44140625" customWidth="1"/>
  </cols>
  <sheetData>
    <row r="1" spans="1:1" x14ac:dyDescent="0.3">
      <c r="A1" s="6" t="s">
        <v>105</v>
      </c>
    </row>
    <row r="2" spans="1:1" x14ac:dyDescent="0.3">
      <c r="A2" s="7"/>
    </row>
    <row r="3" spans="1:1" ht="100.8" x14ac:dyDescent="0.3">
      <c r="A3" s="8" t="s">
        <v>106</v>
      </c>
    </row>
    <row r="4" spans="1:1" x14ac:dyDescent="0.3">
      <c r="A4" s="9"/>
    </row>
    <row r="5" spans="1:1" ht="57.6" x14ac:dyDescent="0.3">
      <c r="A5" s="8" t="s">
        <v>107</v>
      </c>
    </row>
    <row r="6" spans="1:1" x14ac:dyDescent="0.3">
      <c r="A6" s="3"/>
    </row>
    <row r="7" spans="1:1" x14ac:dyDescent="0.3">
      <c r="A7" s="10" t="s">
        <v>43</v>
      </c>
    </row>
    <row r="8" spans="1:1" x14ac:dyDescent="0.3">
      <c r="A8" s="11" t="s">
        <v>44</v>
      </c>
    </row>
    <row r="9" spans="1:1" x14ac:dyDescent="0.3">
      <c r="A9" s="11"/>
    </row>
    <row r="10" spans="1:1" x14ac:dyDescent="0.3">
      <c r="A10" s="12" t="s">
        <v>108</v>
      </c>
    </row>
  </sheetData>
  <hyperlinks>
    <hyperlink ref="A8"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sqref="A1:XFD1048576"/>
    </sheetView>
  </sheetViews>
  <sheetFormatPr defaultRowHeight="14.4" x14ac:dyDescent="0.3"/>
  <cols>
    <col min="1" max="1" width="24.6640625" style="17" customWidth="1"/>
    <col min="2" max="2" width="9.109375" style="18"/>
    <col min="3" max="3" width="15.109375" style="17" customWidth="1"/>
    <col min="4" max="6" width="14.109375" style="17" customWidth="1"/>
    <col min="7" max="8" width="14.33203125" style="17" customWidth="1"/>
    <col min="9" max="256" width="9.109375" style="17"/>
    <col min="257" max="257" width="24.6640625" style="17" customWidth="1"/>
    <col min="258" max="258" width="9.109375" style="17"/>
    <col min="259" max="259" width="15.109375" style="17" customWidth="1"/>
    <col min="260" max="262" width="14.109375" style="17" customWidth="1"/>
    <col min="263" max="264" width="14.33203125" style="17" customWidth="1"/>
    <col min="265" max="512" width="9.109375" style="17"/>
    <col min="513" max="513" width="24.6640625" style="17" customWidth="1"/>
    <col min="514" max="514" width="9.109375" style="17"/>
    <col min="515" max="515" width="15.109375" style="17" customWidth="1"/>
    <col min="516" max="518" width="14.109375" style="17" customWidth="1"/>
    <col min="519" max="520" width="14.33203125" style="17" customWidth="1"/>
    <col min="521" max="768" width="9.109375" style="17"/>
    <col min="769" max="769" width="24.6640625" style="17" customWidth="1"/>
    <col min="770" max="770" width="9.109375" style="17"/>
    <col min="771" max="771" width="15.109375" style="17" customWidth="1"/>
    <col min="772" max="774" width="14.109375" style="17" customWidth="1"/>
    <col min="775" max="776" width="14.33203125" style="17" customWidth="1"/>
    <col min="777" max="1024" width="9.109375" style="17"/>
    <col min="1025" max="1025" width="24.6640625" style="17" customWidth="1"/>
    <col min="1026" max="1026" width="9.109375" style="17"/>
    <col min="1027" max="1027" width="15.109375" style="17" customWidth="1"/>
    <col min="1028" max="1030" width="14.109375" style="17" customWidth="1"/>
    <col min="1031" max="1032" width="14.33203125" style="17" customWidth="1"/>
    <col min="1033" max="1280" width="9.109375" style="17"/>
    <col min="1281" max="1281" width="24.6640625" style="17" customWidth="1"/>
    <col min="1282" max="1282" width="9.109375" style="17"/>
    <col min="1283" max="1283" width="15.109375" style="17" customWidth="1"/>
    <col min="1284" max="1286" width="14.109375" style="17" customWidth="1"/>
    <col min="1287" max="1288" width="14.33203125" style="17" customWidth="1"/>
    <col min="1289" max="1536" width="9.109375" style="17"/>
    <col min="1537" max="1537" width="24.6640625" style="17" customWidth="1"/>
    <col min="1538" max="1538" width="9.109375" style="17"/>
    <col min="1539" max="1539" width="15.109375" style="17" customWidth="1"/>
    <col min="1540" max="1542" width="14.109375" style="17" customWidth="1"/>
    <col min="1543" max="1544" width="14.33203125" style="17" customWidth="1"/>
    <col min="1545" max="1792" width="9.109375" style="17"/>
    <col min="1793" max="1793" width="24.6640625" style="17" customWidth="1"/>
    <col min="1794" max="1794" width="9.109375" style="17"/>
    <col min="1795" max="1795" width="15.109375" style="17" customWidth="1"/>
    <col min="1796" max="1798" width="14.109375" style="17" customWidth="1"/>
    <col min="1799" max="1800" width="14.33203125" style="17" customWidth="1"/>
    <col min="1801" max="2048" width="9.109375" style="17"/>
    <col min="2049" max="2049" width="24.6640625" style="17" customWidth="1"/>
    <col min="2050" max="2050" width="9.109375" style="17"/>
    <col min="2051" max="2051" width="15.109375" style="17" customWidth="1"/>
    <col min="2052" max="2054" width="14.109375" style="17" customWidth="1"/>
    <col min="2055" max="2056" width="14.33203125" style="17" customWidth="1"/>
    <col min="2057" max="2304" width="9.109375" style="17"/>
    <col min="2305" max="2305" width="24.6640625" style="17" customWidth="1"/>
    <col min="2306" max="2306" width="9.109375" style="17"/>
    <col min="2307" max="2307" width="15.109375" style="17" customWidth="1"/>
    <col min="2308" max="2310" width="14.109375" style="17" customWidth="1"/>
    <col min="2311" max="2312" width="14.33203125" style="17" customWidth="1"/>
    <col min="2313" max="2560" width="9.109375" style="17"/>
    <col min="2561" max="2561" width="24.6640625" style="17" customWidth="1"/>
    <col min="2562" max="2562" width="9.109375" style="17"/>
    <col min="2563" max="2563" width="15.109375" style="17" customWidth="1"/>
    <col min="2564" max="2566" width="14.109375" style="17" customWidth="1"/>
    <col min="2567" max="2568" width="14.33203125" style="17" customWidth="1"/>
    <col min="2569" max="2816" width="9.109375" style="17"/>
    <col min="2817" max="2817" width="24.6640625" style="17" customWidth="1"/>
    <col min="2818" max="2818" width="9.109375" style="17"/>
    <col min="2819" max="2819" width="15.109375" style="17" customWidth="1"/>
    <col min="2820" max="2822" width="14.109375" style="17" customWidth="1"/>
    <col min="2823" max="2824" width="14.33203125" style="17" customWidth="1"/>
    <col min="2825" max="3072" width="9.109375" style="17"/>
    <col min="3073" max="3073" width="24.6640625" style="17" customWidth="1"/>
    <col min="3074" max="3074" width="9.109375" style="17"/>
    <col min="3075" max="3075" width="15.109375" style="17" customWidth="1"/>
    <col min="3076" max="3078" width="14.109375" style="17" customWidth="1"/>
    <col min="3079" max="3080" width="14.33203125" style="17" customWidth="1"/>
    <col min="3081" max="3328" width="9.109375" style="17"/>
    <col min="3329" max="3329" width="24.6640625" style="17" customWidth="1"/>
    <col min="3330" max="3330" width="9.109375" style="17"/>
    <col min="3331" max="3331" width="15.109375" style="17" customWidth="1"/>
    <col min="3332" max="3334" width="14.109375" style="17" customWidth="1"/>
    <col min="3335" max="3336" width="14.33203125" style="17" customWidth="1"/>
    <col min="3337" max="3584" width="9.109375" style="17"/>
    <col min="3585" max="3585" width="24.6640625" style="17" customWidth="1"/>
    <col min="3586" max="3586" width="9.109375" style="17"/>
    <col min="3587" max="3587" width="15.109375" style="17" customWidth="1"/>
    <col min="3588" max="3590" width="14.109375" style="17" customWidth="1"/>
    <col min="3591" max="3592" width="14.33203125" style="17" customWidth="1"/>
    <col min="3593" max="3840" width="9.109375" style="17"/>
    <col min="3841" max="3841" width="24.6640625" style="17" customWidth="1"/>
    <col min="3842" max="3842" width="9.109375" style="17"/>
    <col min="3843" max="3843" width="15.109375" style="17" customWidth="1"/>
    <col min="3844" max="3846" width="14.109375" style="17" customWidth="1"/>
    <col min="3847" max="3848" width="14.33203125" style="17" customWidth="1"/>
    <col min="3849" max="4096" width="9.109375" style="17"/>
    <col min="4097" max="4097" width="24.6640625" style="17" customWidth="1"/>
    <col min="4098" max="4098" width="9.109375" style="17"/>
    <col min="4099" max="4099" width="15.109375" style="17" customWidth="1"/>
    <col min="4100" max="4102" width="14.109375" style="17" customWidth="1"/>
    <col min="4103" max="4104" width="14.33203125" style="17" customWidth="1"/>
    <col min="4105" max="4352" width="9.109375" style="17"/>
    <col min="4353" max="4353" width="24.6640625" style="17" customWidth="1"/>
    <col min="4354" max="4354" width="9.109375" style="17"/>
    <col min="4355" max="4355" width="15.109375" style="17" customWidth="1"/>
    <col min="4356" max="4358" width="14.109375" style="17" customWidth="1"/>
    <col min="4359" max="4360" width="14.33203125" style="17" customWidth="1"/>
    <col min="4361" max="4608" width="9.109375" style="17"/>
    <col min="4609" max="4609" width="24.6640625" style="17" customWidth="1"/>
    <col min="4610" max="4610" width="9.109375" style="17"/>
    <col min="4611" max="4611" width="15.109375" style="17" customWidth="1"/>
    <col min="4612" max="4614" width="14.109375" style="17" customWidth="1"/>
    <col min="4615" max="4616" width="14.33203125" style="17" customWidth="1"/>
    <col min="4617" max="4864" width="9.109375" style="17"/>
    <col min="4865" max="4865" width="24.6640625" style="17" customWidth="1"/>
    <col min="4866" max="4866" width="9.109375" style="17"/>
    <col min="4867" max="4867" width="15.109375" style="17" customWidth="1"/>
    <col min="4868" max="4870" width="14.109375" style="17" customWidth="1"/>
    <col min="4871" max="4872" width="14.33203125" style="17" customWidth="1"/>
    <col min="4873" max="5120" width="9.109375" style="17"/>
    <col min="5121" max="5121" width="24.6640625" style="17" customWidth="1"/>
    <col min="5122" max="5122" width="9.109375" style="17"/>
    <col min="5123" max="5123" width="15.109375" style="17" customWidth="1"/>
    <col min="5124" max="5126" width="14.109375" style="17" customWidth="1"/>
    <col min="5127" max="5128" width="14.33203125" style="17" customWidth="1"/>
    <col min="5129" max="5376" width="9.109375" style="17"/>
    <col min="5377" max="5377" width="24.6640625" style="17" customWidth="1"/>
    <col min="5378" max="5378" width="9.109375" style="17"/>
    <col min="5379" max="5379" width="15.109375" style="17" customWidth="1"/>
    <col min="5380" max="5382" width="14.109375" style="17" customWidth="1"/>
    <col min="5383" max="5384" width="14.33203125" style="17" customWidth="1"/>
    <col min="5385" max="5632" width="9.109375" style="17"/>
    <col min="5633" max="5633" width="24.6640625" style="17" customWidth="1"/>
    <col min="5634" max="5634" width="9.109375" style="17"/>
    <col min="5635" max="5635" width="15.109375" style="17" customWidth="1"/>
    <col min="5636" max="5638" width="14.109375" style="17" customWidth="1"/>
    <col min="5639" max="5640" width="14.33203125" style="17" customWidth="1"/>
    <col min="5641" max="5888" width="9.109375" style="17"/>
    <col min="5889" max="5889" width="24.6640625" style="17" customWidth="1"/>
    <col min="5890" max="5890" width="9.109375" style="17"/>
    <col min="5891" max="5891" width="15.109375" style="17" customWidth="1"/>
    <col min="5892" max="5894" width="14.109375" style="17" customWidth="1"/>
    <col min="5895" max="5896" width="14.33203125" style="17" customWidth="1"/>
    <col min="5897" max="6144" width="9.109375" style="17"/>
    <col min="6145" max="6145" width="24.6640625" style="17" customWidth="1"/>
    <col min="6146" max="6146" width="9.109375" style="17"/>
    <col min="6147" max="6147" width="15.109375" style="17" customWidth="1"/>
    <col min="6148" max="6150" width="14.109375" style="17" customWidth="1"/>
    <col min="6151" max="6152" width="14.33203125" style="17" customWidth="1"/>
    <col min="6153" max="6400" width="9.109375" style="17"/>
    <col min="6401" max="6401" width="24.6640625" style="17" customWidth="1"/>
    <col min="6402" max="6402" width="9.109375" style="17"/>
    <col min="6403" max="6403" width="15.109375" style="17" customWidth="1"/>
    <col min="6404" max="6406" width="14.109375" style="17" customWidth="1"/>
    <col min="6407" max="6408" width="14.33203125" style="17" customWidth="1"/>
    <col min="6409" max="6656" width="9.109375" style="17"/>
    <col min="6657" max="6657" width="24.6640625" style="17" customWidth="1"/>
    <col min="6658" max="6658" width="9.109375" style="17"/>
    <col min="6659" max="6659" width="15.109375" style="17" customWidth="1"/>
    <col min="6660" max="6662" width="14.109375" style="17" customWidth="1"/>
    <col min="6663" max="6664" width="14.33203125" style="17" customWidth="1"/>
    <col min="6665" max="6912" width="9.109375" style="17"/>
    <col min="6913" max="6913" width="24.6640625" style="17" customWidth="1"/>
    <col min="6914" max="6914" width="9.109375" style="17"/>
    <col min="6915" max="6915" width="15.109375" style="17" customWidth="1"/>
    <col min="6916" max="6918" width="14.109375" style="17" customWidth="1"/>
    <col min="6919" max="6920" width="14.33203125" style="17" customWidth="1"/>
    <col min="6921" max="7168" width="9.109375" style="17"/>
    <col min="7169" max="7169" width="24.6640625" style="17" customWidth="1"/>
    <col min="7170" max="7170" width="9.109375" style="17"/>
    <col min="7171" max="7171" width="15.109375" style="17" customWidth="1"/>
    <col min="7172" max="7174" width="14.109375" style="17" customWidth="1"/>
    <col min="7175" max="7176" width="14.33203125" style="17" customWidth="1"/>
    <col min="7177" max="7424" width="9.109375" style="17"/>
    <col min="7425" max="7425" width="24.6640625" style="17" customWidth="1"/>
    <col min="7426" max="7426" width="9.109375" style="17"/>
    <col min="7427" max="7427" width="15.109375" style="17" customWidth="1"/>
    <col min="7428" max="7430" width="14.109375" style="17" customWidth="1"/>
    <col min="7431" max="7432" width="14.33203125" style="17" customWidth="1"/>
    <col min="7433" max="7680" width="9.109375" style="17"/>
    <col min="7681" max="7681" width="24.6640625" style="17" customWidth="1"/>
    <col min="7682" max="7682" width="9.109375" style="17"/>
    <col min="7683" max="7683" width="15.109375" style="17" customWidth="1"/>
    <col min="7684" max="7686" width="14.109375" style="17" customWidth="1"/>
    <col min="7687" max="7688" width="14.33203125" style="17" customWidth="1"/>
    <col min="7689" max="7936" width="9.109375" style="17"/>
    <col min="7937" max="7937" width="24.6640625" style="17" customWidth="1"/>
    <col min="7938" max="7938" width="9.109375" style="17"/>
    <col min="7939" max="7939" width="15.109375" style="17" customWidth="1"/>
    <col min="7940" max="7942" width="14.109375" style="17" customWidth="1"/>
    <col min="7943" max="7944" width="14.33203125" style="17" customWidth="1"/>
    <col min="7945" max="8192" width="9.109375" style="17"/>
    <col min="8193" max="8193" width="24.6640625" style="17" customWidth="1"/>
    <col min="8194" max="8194" width="9.109375" style="17"/>
    <col min="8195" max="8195" width="15.109375" style="17" customWidth="1"/>
    <col min="8196" max="8198" width="14.109375" style="17" customWidth="1"/>
    <col min="8199" max="8200" width="14.33203125" style="17" customWidth="1"/>
    <col min="8201" max="8448" width="9.109375" style="17"/>
    <col min="8449" max="8449" width="24.6640625" style="17" customWidth="1"/>
    <col min="8450" max="8450" width="9.109375" style="17"/>
    <col min="8451" max="8451" width="15.109375" style="17" customWidth="1"/>
    <col min="8452" max="8454" width="14.109375" style="17" customWidth="1"/>
    <col min="8455" max="8456" width="14.33203125" style="17" customWidth="1"/>
    <col min="8457" max="8704" width="9.109375" style="17"/>
    <col min="8705" max="8705" width="24.6640625" style="17" customWidth="1"/>
    <col min="8706" max="8706" width="9.109375" style="17"/>
    <col min="8707" max="8707" width="15.109375" style="17" customWidth="1"/>
    <col min="8708" max="8710" width="14.109375" style="17" customWidth="1"/>
    <col min="8711" max="8712" width="14.33203125" style="17" customWidth="1"/>
    <col min="8713" max="8960" width="9.109375" style="17"/>
    <col min="8961" max="8961" width="24.6640625" style="17" customWidth="1"/>
    <col min="8962" max="8962" width="9.109375" style="17"/>
    <col min="8963" max="8963" width="15.109375" style="17" customWidth="1"/>
    <col min="8964" max="8966" width="14.109375" style="17" customWidth="1"/>
    <col min="8967" max="8968" width="14.33203125" style="17" customWidth="1"/>
    <col min="8969" max="9216" width="9.109375" style="17"/>
    <col min="9217" max="9217" width="24.6640625" style="17" customWidth="1"/>
    <col min="9218" max="9218" width="9.109375" style="17"/>
    <col min="9219" max="9219" width="15.109375" style="17" customWidth="1"/>
    <col min="9220" max="9222" width="14.109375" style="17" customWidth="1"/>
    <col min="9223" max="9224" width="14.33203125" style="17" customWidth="1"/>
    <col min="9225" max="9472" width="9.109375" style="17"/>
    <col min="9473" max="9473" width="24.6640625" style="17" customWidth="1"/>
    <col min="9474" max="9474" width="9.109375" style="17"/>
    <col min="9475" max="9475" width="15.109375" style="17" customWidth="1"/>
    <col min="9476" max="9478" width="14.109375" style="17" customWidth="1"/>
    <col min="9479" max="9480" width="14.33203125" style="17" customWidth="1"/>
    <col min="9481" max="9728" width="9.109375" style="17"/>
    <col min="9729" max="9729" width="24.6640625" style="17" customWidth="1"/>
    <col min="9730" max="9730" width="9.109375" style="17"/>
    <col min="9731" max="9731" width="15.109375" style="17" customWidth="1"/>
    <col min="9732" max="9734" width="14.109375" style="17" customWidth="1"/>
    <col min="9735" max="9736" width="14.33203125" style="17" customWidth="1"/>
    <col min="9737" max="9984" width="9.109375" style="17"/>
    <col min="9985" max="9985" width="24.6640625" style="17" customWidth="1"/>
    <col min="9986" max="9986" width="9.109375" style="17"/>
    <col min="9987" max="9987" width="15.109375" style="17" customWidth="1"/>
    <col min="9988" max="9990" width="14.109375" style="17" customWidth="1"/>
    <col min="9991" max="9992" width="14.33203125" style="17" customWidth="1"/>
    <col min="9993" max="10240" width="9.109375" style="17"/>
    <col min="10241" max="10241" width="24.6640625" style="17" customWidth="1"/>
    <col min="10242" max="10242" width="9.109375" style="17"/>
    <col min="10243" max="10243" width="15.109375" style="17" customWidth="1"/>
    <col min="10244" max="10246" width="14.109375" style="17" customWidth="1"/>
    <col min="10247" max="10248" width="14.33203125" style="17" customWidth="1"/>
    <col min="10249" max="10496" width="9.109375" style="17"/>
    <col min="10497" max="10497" width="24.6640625" style="17" customWidth="1"/>
    <col min="10498" max="10498" width="9.109375" style="17"/>
    <col min="10499" max="10499" width="15.109375" style="17" customWidth="1"/>
    <col min="10500" max="10502" width="14.109375" style="17" customWidth="1"/>
    <col min="10503" max="10504" width="14.33203125" style="17" customWidth="1"/>
    <col min="10505" max="10752" width="9.109375" style="17"/>
    <col min="10753" max="10753" width="24.6640625" style="17" customWidth="1"/>
    <col min="10754" max="10754" width="9.109375" style="17"/>
    <col min="10755" max="10755" width="15.109375" style="17" customWidth="1"/>
    <col min="10756" max="10758" width="14.109375" style="17" customWidth="1"/>
    <col min="10759" max="10760" width="14.33203125" style="17" customWidth="1"/>
    <col min="10761" max="11008" width="9.109375" style="17"/>
    <col min="11009" max="11009" width="24.6640625" style="17" customWidth="1"/>
    <col min="11010" max="11010" width="9.109375" style="17"/>
    <col min="11011" max="11011" width="15.109375" style="17" customWidth="1"/>
    <col min="11012" max="11014" width="14.109375" style="17" customWidth="1"/>
    <col min="11015" max="11016" width="14.33203125" style="17" customWidth="1"/>
    <col min="11017" max="11264" width="9.109375" style="17"/>
    <col min="11265" max="11265" width="24.6640625" style="17" customWidth="1"/>
    <col min="11266" max="11266" width="9.109375" style="17"/>
    <col min="11267" max="11267" width="15.109375" style="17" customWidth="1"/>
    <col min="11268" max="11270" width="14.109375" style="17" customWidth="1"/>
    <col min="11271" max="11272" width="14.33203125" style="17" customWidth="1"/>
    <col min="11273" max="11520" width="9.109375" style="17"/>
    <col min="11521" max="11521" width="24.6640625" style="17" customWidth="1"/>
    <col min="11522" max="11522" width="9.109375" style="17"/>
    <col min="11523" max="11523" width="15.109375" style="17" customWidth="1"/>
    <col min="11524" max="11526" width="14.109375" style="17" customWidth="1"/>
    <col min="11527" max="11528" width="14.33203125" style="17" customWidth="1"/>
    <col min="11529" max="11776" width="9.109375" style="17"/>
    <col min="11777" max="11777" width="24.6640625" style="17" customWidth="1"/>
    <col min="11778" max="11778" width="9.109375" style="17"/>
    <col min="11779" max="11779" width="15.109375" style="17" customWidth="1"/>
    <col min="11780" max="11782" width="14.109375" style="17" customWidth="1"/>
    <col min="11783" max="11784" width="14.33203125" style="17" customWidth="1"/>
    <col min="11785" max="12032" width="9.109375" style="17"/>
    <col min="12033" max="12033" width="24.6640625" style="17" customWidth="1"/>
    <col min="12034" max="12034" width="9.109375" style="17"/>
    <col min="12035" max="12035" width="15.109375" style="17" customWidth="1"/>
    <col min="12036" max="12038" width="14.109375" style="17" customWidth="1"/>
    <col min="12039" max="12040" width="14.33203125" style="17" customWidth="1"/>
    <col min="12041" max="12288" width="9.109375" style="17"/>
    <col min="12289" max="12289" width="24.6640625" style="17" customWidth="1"/>
    <col min="12290" max="12290" width="9.109375" style="17"/>
    <col min="12291" max="12291" width="15.109375" style="17" customWidth="1"/>
    <col min="12292" max="12294" width="14.109375" style="17" customWidth="1"/>
    <col min="12295" max="12296" width="14.33203125" style="17" customWidth="1"/>
    <col min="12297" max="12544" width="9.109375" style="17"/>
    <col min="12545" max="12545" width="24.6640625" style="17" customWidth="1"/>
    <col min="12546" max="12546" width="9.109375" style="17"/>
    <col min="12547" max="12547" width="15.109375" style="17" customWidth="1"/>
    <col min="12548" max="12550" width="14.109375" style="17" customWidth="1"/>
    <col min="12551" max="12552" width="14.33203125" style="17" customWidth="1"/>
    <col min="12553" max="12800" width="9.109375" style="17"/>
    <col min="12801" max="12801" width="24.6640625" style="17" customWidth="1"/>
    <col min="12802" max="12802" width="9.109375" style="17"/>
    <col min="12803" max="12803" width="15.109375" style="17" customWidth="1"/>
    <col min="12804" max="12806" width="14.109375" style="17" customWidth="1"/>
    <col min="12807" max="12808" width="14.33203125" style="17" customWidth="1"/>
    <col min="12809" max="13056" width="9.109375" style="17"/>
    <col min="13057" max="13057" width="24.6640625" style="17" customWidth="1"/>
    <col min="13058" max="13058" width="9.109375" style="17"/>
    <col min="13059" max="13059" width="15.109375" style="17" customWidth="1"/>
    <col min="13060" max="13062" width="14.109375" style="17" customWidth="1"/>
    <col min="13063" max="13064" width="14.33203125" style="17" customWidth="1"/>
    <col min="13065" max="13312" width="9.109375" style="17"/>
    <col min="13313" max="13313" width="24.6640625" style="17" customWidth="1"/>
    <col min="13314" max="13314" width="9.109375" style="17"/>
    <col min="13315" max="13315" width="15.109375" style="17" customWidth="1"/>
    <col min="13316" max="13318" width="14.109375" style="17" customWidth="1"/>
    <col min="13319" max="13320" width="14.33203125" style="17" customWidth="1"/>
    <col min="13321" max="13568" width="9.109375" style="17"/>
    <col min="13569" max="13569" width="24.6640625" style="17" customWidth="1"/>
    <col min="13570" max="13570" width="9.109375" style="17"/>
    <col min="13571" max="13571" width="15.109375" style="17" customWidth="1"/>
    <col min="13572" max="13574" width="14.109375" style="17" customWidth="1"/>
    <col min="13575" max="13576" width="14.33203125" style="17" customWidth="1"/>
    <col min="13577" max="13824" width="9.109375" style="17"/>
    <col min="13825" max="13825" width="24.6640625" style="17" customWidth="1"/>
    <col min="13826" max="13826" width="9.109375" style="17"/>
    <col min="13827" max="13827" width="15.109375" style="17" customWidth="1"/>
    <col min="13828" max="13830" width="14.109375" style="17" customWidth="1"/>
    <col min="13831" max="13832" width="14.33203125" style="17" customWidth="1"/>
    <col min="13833" max="14080" width="9.109375" style="17"/>
    <col min="14081" max="14081" width="24.6640625" style="17" customWidth="1"/>
    <col min="14082" max="14082" width="9.109375" style="17"/>
    <col min="14083" max="14083" width="15.109375" style="17" customWidth="1"/>
    <col min="14084" max="14086" width="14.109375" style="17" customWidth="1"/>
    <col min="14087" max="14088" width="14.33203125" style="17" customWidth="1"/>
    <col min="14089" max="14336" width="9.109375" style="17"/>
    <col min="14337" max="14337" width="24.6640625" style="17" customWidth="1"/>
    <col min="14338" max="14338" width="9.109375" style="17"/>
    <col min="14339" max="14339" width="15.109375" style="17" customWidth="1"/>
    <col min="14340" max="14342" width="14.109375" style="17" customWidth="1"/>
    <col min="14343" max="14344" width="14.33203125" style="17" customWidth="1"/>
    <col min="14345" max="14592" width="9.109375" style="17"/>
    <col min="14593" max="14593" width="24.6640625" style="17" customWidth="1"/>
    <col min="14594" max="14594" width="9.109375" style="17"/>
    <col min="14595" max="14595" width="15.109375" style="17" customWidth="1"/>
    <col min="14596" max="14598" width="14.109375" style="17" customWidth="1"/>
    <col min="14599" max="14600" width="14.33203125" style="17" customWidth="1"/>
    <col min="14601" max="14848" width="9.109375" style="17"/>
    <col min="14849" max="14849" width="24.6640625" style="17" customWidth="1"/>
    <col min="14850" max="14850" width="9.109375" style="17"/>
    <col min="14851" max="14851" width="15.109375" style="17" customWidth="1"/>
    <col min="14852" max="14854" width="14.109375" style="17" customWidth="1"/>
    <col min="14855" max="14856" width="14.33203125" style="17" customWidth="1"/>
    <col min="14857" max="15104" width="9.109375" style="17"/>
    <col min="15105" max="15105" width="24.6640625" style="17" customWidth="1"/>
    <col min="15106" max="15106" width="9.109375" style="17"/>
    <col min="15107" max="15107" width="15.109375" style="17" customWidth="1"/>
    <col min="15108" max="15110" width="14.109375" style="17" customWidth="1"/>
    <col min="15111" max="15112" width="14.33203125" style="17" customWidth="1"/>
    <col min="15113" max="15360" width="9.109375" style="17"/>
    <col min="15361" max="15361" width="24.6640625" style="17" customWidth="1"/>
    <col min="15362" max="15362" width="9.109375" style="17"/>
    <col min="15363" max="15363" width="15.109375" style="17" customWidth="1"/>
    <col min="15364" max="15366" width="14.109375" style="17" customWidth="1"/>
    <col min="15367" max="15368" width="14.33203125" style="17" customWidth="1"/>
    <col min="15369" max="15616" width="9.109375" style="17"/>
    <col min="15617" max="15617" width="24.6640625" style="17" customWidth="1"/>
    <col min="15618" max="15618" width="9.109375" style="17"/>
    <col min="15619" max="15619" width="15.109375" style="17" customWidth="1"/>
    <col min="15620" max="15622" width="14.109375" style="17" customWidth="1"/>
    <col min="15623" max="15624" width="14.33203125" style="17" customWidth="1"/>
    <col min="15625" max="15872" width="9.109375" style="17"/>
    <col min="15873" max="15873" width="24.6640625" style="17" customWidth="1"/>
    <col min="15874" max="15874" width="9.109375" style="17"/>
    <col min="15875" max="15875" width="15.109375" style="17" customWidth="1"/>
    <col min="15876" max="15878" width="14.109375" style="17" customWidth="1"/>
    <col min="15879" max="15880" width="14.33203125" style="17" customWidth="1"/>
    <col min="15881" max="16128" width="9.109375" style="17"/>
    <col min="16129" max="16129" width="24.6640625" style="17" customWidth="1"/>
    <col min="16130" max="16130" width="9.109375" style="17"/>
    <col min="16131" max="16131" width="15.109375" style="17" customWidth="1"/>
    <col min="16132" max="16134" width="14.109375" style="17" customWidth="1"/>
    <col min="16135" max="16136" width="14.33203125" style="17" customWidth="1"/>
    <col min="16137" max="16384" width="9.109375" style="17"/>
  </cols>
  <sheetData>
    <row r="1" spans="1:10" ht="24.75" customHeight="1" thickBot="1" x14ac:dyDescent="0.35">
      <c r="A1" s="13" t="s">
        <v>29</v>
      </c>
      <c r="B1" s="14"/>
      <c r="C1" s="15"/>
      <c r="D1" s="15"/>
      <c r="E1" s="15"/>
      <c r="F1" s="15"/>
      <c r="G1" s="15"/>
      <c r="H1" s="15"/>
      <c r="I1" s="16"/>
      <c r="J1" s="16"/>
    </row>
    <row r="2" spans="1:10" ht="19.5" customHeight="1" x14ac:dyDescent="0.3">
      <c r="D2" s="121" t="s">
        <v>30</v>
      </c>
      <c r="E2" s="122"/>
      <c r="F2" s="122"/>
      <c r="G2" s="123"/>
      <c r="H2" s="123"/>
      <c r="I2" s="16"/>
      <c r="J2" s="16"/>
    </row>
    <row r="3" spans="1:10" ht="54" customHeight="1" x14ac:dyDescent="0.3">
      <c r="A3" s="19" t="s">
        <v>31</v>
      </c>
      <c r="B3" s="19" t="s">
        <v>32</v>
      </c>
      <c r="C3" s="19" t="s">
        <v>33</v>
      </c>
      <c r="D3" s="20" t="s">
        <v>34</v>
      </c>
      <c r="E3" s="20" t="s">
        <v>4</v>
      </c>
      <c r="F3" s="20" t="s">
        <v>5</v>
      </c>
      <c r="G3" s="20" t="s">
        <v>7</v>
      </c>
      <c r="H3" s="20" t="s">
        <v>8</v>
      </c>
      <c r="I3" s="16"/>
      <c r="J3" s="16"/>
    </row>
    <row r="4" spans="1:10" ht="25.5" customHeight="1" x14ac:dyDescent="0.3">
      <c r="C4" s="124" t="s">
        <v>36</v>
      </c>
      <c r="D4" s="125"/>
      <c r="E4" s="125"/>
      <c r="F4" s="125"/>
      <c r="G4" s="125"/>
      <c r="H4" s="125"/>
      <c r="I4" s="16"/>
      <c r="J4" s="16"/>
    </row>
    <row r="5" spans="1:10" ht="30.75" customHeight="1" x14ac:dyDescent="0.3">
      <c r="A5" s="21" t="s">
        <v>37</v>
      </c>
      <c r="B5" s="18">
        <v>2012</v>
      </c>
      <c r="C5" s="22">
        <v>10.9</v>
      </c>
      <c r="D5" s="22">
        <v>2.31</v>
      </c>
      <c r="E5" s="22">
        <v>8.0399999999999991</v>
      </c>
      <c r="F5" s="22">
        <v>12.15</v>
      </c>
      <c r="G5" s="22"/>
    </row>
    <row r="6" spans="1:10" x14ac:dyDescent="0.3">
      <c r="A6" s="21"/>
      <c r="B6" s="18">
        <v>2007</v>
      </c>
      <c r="C6" s="22">
        <v>8.41</v>
      </c>
      <c r="D6" s="22">
        <v>1.74</v>
      </c>
      <c r="E6" s="22">
        <v>12.54</v>
      </c>
      <c r="F6" s="22">
        <v>10.09</v>
      </c>
      <c r="G6" s="22"/>
    </row>
    <row r="7" spans="1:10" x14ac:dyDescent="0.3">
      <c r="B7" s="18">
        <v>2002</v>
      </c>
      <c r="C7" s="22">
        <v>6.22</v>
      </c>
      <c r="D7" s="22">
        <v>1.02</v>
      </c>
      <c r="E7" s="22">
        <v>10.029999999999999</v>
      </c>
      <c r="F7" s="22">
        <v>8.44</v>
      </c>
      <c r="G7" s="22">
        <v>3.41</v>
      </c>
    </row>
    <row r="8" spans="1:10" x14ac:dyDescent="0.3">
      <c r="B8" s="18">
        <v>1997</v>
      </c>
      <c r="C8" s="22">
        <v>5.25</v>
      </c>
      <c r="D8" s="22">
        <v>1.21</v>
      </c>
      <c r="E8" s="22">
        <v>10.07</v>
      </c>
      <c r="F8" s="22">
        <v>6.96</v>
      </c>
      <c r="G8" s="22">
        <v>3.06</v>
      </c>
    </row>
    <row r="9" spans="1:10" ht="16.2" x14ac:dyDescent="0.3">
      <c r="B9" s="23" t="s">
        <v>122</v>
      </c>
      <c r="C9" s="22">
        <f>2510414/C25/10</f>
        <v>2.6797507457151584</v>
      </c>
      <c r="D9" s="22">
        <f>269006/D25/10</f>
        <v>1.3678039355265166</v>
      </c>
      <c r="F9" s="22">
        <f>1001638/F25/10</f>
        <v>4.2204115646856133</v>
      </c>
      <c r="G9" s="24"/>
      <c r="H9" s="25">
        <f>1239770/502808.87</f>
        <v>2.4656884036274063</v>
      </c>
    </row>
    <row r="10" spans="1:10" ht="30" customHeight="1" x14ac:dyDescent="0.3">
      <c r="A10" s="21" t="s">
        <v>38</v>
      </c>
      <c r="B10" s="18">
        <v>2012</v>
      </c>
      <c r="C10" s="22">
        <v>8.1199999999999992</v>
      </c>
      <c r="D10" s="22">
        <v>1.49</v>
      </c>
      <c r="E10" s="22">
        <v>6.28</v>
      </c>
      <c r="F10" s="22">
        <v>9.08</v>
      </c>
      <c r="G10" s="22"/>
    </row>
    <row r="11" spans="1:10" x14ac:dyDescent="0.3">
      <c r="A11" s="21"/>
      <c r="B11" s="18">
        <v>2007</v>
      </c>
      <c r="C11" s="22">
        <v>6.09</v>
      </c>
      <c r="D11" s="22">
        <v>1.31</v>
      </c>
      <c r="E11" s="22">
        <v>7.76</v>
      </c>
      <c r="F11" s="22">
        <v>7.3</v>
      </c>
      <c r="G11" s="22"/>
    </row>
    <row r="12" spans="1:10" x14ac:dyDescent="0.3">
      <c r="B12" s="18">
        <v>2002</v>
      </c>
      <c r="C12" s="22">
        <v>4.13</v>
      </c>
      <c r="D12" s="22">
        <v>0.76</v>
      </c>
      <c r="E12" s="22">
        <v>4.2300000000000004</v>
      </c>
      <c r="F12" s="22">
        <v>5.64</v>
      </c>
      <c r="G12" s="22">
        <v>1.81</v>
      </c>
    </row>
    <row r="13" spans="1:10" x14ac:dyDescent="0.3">
      <c r="B13" s="18">
        <v>1997</v>
      </c>
      <c r="C13" s="22">
        <v>3.18</v>
      </c>
      <c r="D13" s="22">
        <v>0.84</v>
      </c>
      <c r="E13" s="22">
        <v>5.6</v>
      </c>
      <c r="F13" s="22">
        <v>4.18</v>
      </c>
      <c r="G13" s="22">
        <v>1.87</v>
      </c>
    </row>
    <row r="14" spans="1:10" ht="16.2" x14ac:dyDescent="0.3">
      <c r="B14" s="23" t="s">
        <v>122</v>
      </c>
      <c r="C14" s="22">
        <f>1654725/C25/10</f>
        <v>1.7663423454073772</v>
      </c>
      <c r="D14" s="22">
        <f>185794/D25/10</f>
        <v>0.94469924238572234</v>
      </c>
      <c r="E14" s="22"/>
      <c r="F14" s="22">
        <f>589310/F25/10</f>
        <v>2.4830634812026688</v>
      </c>
      <c r="G14" s="22"/>
      <c r="H14" s="22">
        <f>879621/502808.87</f>
        <v>1.7494142456158341</v>
      </c>
    </row>
    <row r="15" spans="1:10" ht="29.25" customHeight="1" x14ac:dyDescent="0.3">
      <c r="A15" s="21" t="s">
        <v>39</v>
      </c>
      <c r="B15" s="18">
        <v>2012</v>
      </c>
      <c r="C15" s="22">
        <v>2.78</v>
      </c>
      <c r="D15" s="22">
        <v>0.82</v>
      </c>
      <c r="E15" s="22">
        <v>1.76</v>
      </c>
      <c r="F15" s="22">
        <v>3.07</v>
      </c>
      <c r="G15" s="22"/>
    </row>
    <row r="16" spans="1:10" x14ac:dyDescent="0.3">
      <c r="A16" s="21"/>
      <c r="B16" s="18">
        <v>2007</v>
      </c>
      <c r="C16" s="22">
        <v>2.3199999999999998</v>
      </c>
      <c r="D16" s="22">
        <v>0.42</v>
      </c>
      <c r="E16" s="22">
        <v>4.78</v>
      </c>
      <c r="F16" s="22">
        <v>2.79</v>
      </c>
      <c r="G16" s="22"/>
    </row>
    <row r="17" spans="1:9" x14ac:dyDescent="0.3">
      <c r="B17" s="18">
        <v>2002</v>
      </c>
      <c r="C17" s="22">
        <v>2.1</v>
      </c>
      <c r="D17" s="22">
        <v>0.27</v>
      </c>
      <c r="E17" s="22">
        <v>5.8</v>
      </c>
      <c r="F17" s="22">
        <v>2.8</v>
      </c>
      <c r="G17" s="22">
        <v>1.6</v>
      </c>
    </row>
    <row r="18" spans="1:9" x14ac:dyDescent="0.3">
      <c r="B18" s="18">
        <v>1997</v>
      </c>
      <c r="C18" s="22">
        <v>2.0699999999999998</v>
      </c>
      <c r="D18" s="22">
        <v>0.37</v>
      </c>
      <c r="E18" s="22">
        <v>4.4800000000000004</v>
      </c>
      <c r="F18" s="22">
        <v>2.78</v>
      </c>
      <c r="G18" s="22">
        <v>1.19</v>
      </c>
    </row>
    <row r="19" spans="1:9" ht="16.2" x14ac:dyDescent="0.3">
      <c r="B19" s="23" t="s">
        <v>122</v>
      </c>
      <c r="C19" s="22">
        <f>855689/C25/10</f>
        <v>0.91340840030778114</v>
      </c>
      <c r="D19" s="22">
        <f>83212/D25/10</f>
        <v>0.42310469314079419</v>
      </c>
      <c r="E19" s="22"/>
      <c r="F19" s="22">
        <f>412328/237331.83</f>
        <v>1.7373480834829447</v>
      </c>
      <c r="G19" s="22"/>
      <c r="H19" s="22">
        <f>360149/502808.87</f>
        <v>0.71627415801157213</v>
      </c>
    </row>
    <row r="20" spans="1:9" ht="24" customHeight="1" x14ac:dyDescent="0.3">
      <c r="C20" s="126" t="s">
        <v>40</v>
      </c>
      <c r="D20" s="127"/>
      <c r="E20" s="127"/>
      <c r="F20" s="127"/>
      <c r="G20" s="127"/>
      <c r="H20" s="127"/>
    </row>
    <row r="21" spans="1:9" ht="24" customHeight="1" x14ac:dyDescent="0.3">
      <c r="A21" s="21" t="s">
        <v>41</v>
      </c>
      <c r="B21" s="18">
        <v>2012</v>
      </c>
      <c r="C21" s="26">
        <v>127942</v>
      </c>
      <c r="D21" s="26">
        <v>16232</v>
      </c>
      <c r="E21" s="26">
        <v>261</v>
      </c>
      <c r="F21" s="26">
        <v>111449</v>
      </c>
      <c r="G21" s="26"/>
      <c r="H21" s="26"/>
    </row>
    <row r="22" spans="1:9" x14ac:dyDescent="0.3">
      <c r="B22" s="18">
        <v>2007</v>
      </c>
      <c r="C22" s="26">
        <v>142865</v>
      </c>
      <c r="D22" s="26">
        <v>28902</v>
      </c>
      <c r="E22" s="26">
        <v>1034</v>
      </c>
      <c r="F22" s="26">
        <v>112929</v>
      </c>
      <c r="G22" s="26"/>
    </row>
    <row r="23" spans="1:9" x14ac:dyDescent="0.3">
      <c r="A23" s="16"/>
      <c r="B23" s="23">
        <v>2002</v>
      </c>
      <c r="C23" s="27">
        <v>134451</v>
      </c>
      <c r="D23" s="27">
        <v>31772</v>
      </c>
      <c r="E23" s="27">
        <v>344</v>
      </c>
      <c r="F23" s="27">
        <v>89800</v>
      </c>
      <c r="G23" s="26">
        <v>12535</v>
      </c>
    </row>
    <row r="24" spans="1:9" x14ac:dyDescent="0.3">
      <c r="A24" s="16"/>
      <c r="B24" s="23">
        <v>1997</v>
      </c>
      <c r="C24" s="27">
        <v>112228</v>
      </c>
      <c r="D24" s="27">
        <v>19538</v>
      </c>
      <c r="E24" s="27">
        <v>1263</v>
      </c>
      <c r="F24" s="27">
        <v>70093</v>
      </c>
      <c r="G24" s="26">
        <v>21334</v>
      </c>
    </row>
    <row r="25" spans="1:9" ht="16.2" x14ac:dyDescent="0.3">
      <c r="A25" s="28"/>
      <c r="B25" s="23" t="s">
        <v>123</v>
      </c>
      <c r="C25" s="27">
        <v>93680.876999999993</v>
      </c>
      <c r="D25" s="27">
        <f>6547+13120</f>
        <v>19667</v>
      </c>
      <c r="E25" s="27"/>
      <c r="F25" s="26">
        <v>23733.183000000001</v>
      </c>
      <c r="G25" s="29"/>
      <c r="H25" s="26">
        <v>50281</v>
      </c>
    </row>
    <row r="26" spans="1:9" x14ac:dyDescent="0.3">
      <c r="A26" s="28"/>
      <c r="C26" s="126" t="s">
        <v>109</v>
      </c>
      <c r="D26" s="127"/>
      <c r="E26" s="127"/>
      <c r="F26" s="127"/>
      <c r="G26" s="127"/>
      <c r="H26" s="127"/>
    </row>
    <row r="27" spans="1:9" ht="24.6" customHeight="1" x14ac:dyDescent="0.3">
      <c r="A27" s="28" t="s">
        <v>42</v>
      </c>
      <c r="B27" s="18">
        <v>2012</v>
      </c>
      <c r="C27" s="26">
        <v>89</v>
      </c>
      <c r="D27" s="26">
        <v>60</v>
      </c>
      <c r="E27" s="26">
        <v>4</v>
      </c>
      <c r="F27" s="26">
        <v>25</v>
      </c>
      <c r="G27" s="26"/>
    </row>
    <row r="28" spans="1:9" x14ac:dyDescent="0.3">
      <c r="B28" s="18">
        <v>2007</v>
      </c>
      <c r="C28" s="26">
        <v>94</v>
      </c>
      <c r="D28" s="26">
        <v>60</v>
      </c>
      <c r="E28" s="26">
        <v>9</v>
      </c>
      <c r="F28" s="26">
        <v>25</v>
      </c>
      <c r="G28" s="26"/>
      <c r="I28" s="30"/>
    </row>
    <row r="29" spans="1:9" x14ac:dyDescent="0.3">
      <c r="B29" s="18">
        <v>2002</v>
      </c>
      <c r="C29" s="26">
        <v>80</v>
      </c>
      <c r="D29" s="26">
        <v>50</v>
      </c>
      <c r="E29" s="26">
        <v>4</v>
      </c>
      <c r="F29" s="26">
        <v>16</v>
      </c>
      <c r="G29" s="26">
        <v>10</v>
      </c>
      <c r="I29" s="30"/>
    </row>
    <row r="30" spans="1:9" x14ac:dyDescent="0.3">
      <c r="B30" s="18">
        <v>1997</v>
      </c>
      <c r="C30" s="26">
        <v>88</v>
      </c>
      <c r="D30" s="26">
        <v>45</v>
      </c>
      <c r="E30" s="26">
        <v>9</v>
      </c>
      <c r="F30" s="26">
        <v>20</v>
      </c>
      <c r="G30" s="26">
        <v>14</v>
      </c>
      <c r="I30" s="30"/>
    </row>
    <row r="31" spans="1:9" x14ac:dyDescent="0.3">
      <c r="A31" s="31"/>
      <c r="B31" s="19">
        <v>1980</v>
      </c>
      <c r="C31" s="32">
        <v>291</v>
      </c>
      <c r="D31" s="32">
        <v>148</v>
      </c>
      <c r="E31" s="32"/>
      <c r="F31" s="32">
        <v>110</v>
      </c>
      <c r="G31" s="32"/>
      <c r="H31" s="31">
        <v>33</v>
      </c>
      <c r="I31" s="30"/>
    </row>
    <row r="32" spans="1:9" ht="16.2" x14ac:dyDescent="0.3">
      <c r="A32" s="33" t="s">
        <v>124</v>
      </c>
      <c r="B32" s="23"/>
      <c r="C32" s="27"/>
      <c r="D32" s="27"/>
      <c r="E32" s="27"/>
      <c r="F32" s="27"/>
      <c r="G32" s="27"/>
      <c r="H32" s="16"/>
      <c r="I32" s="30"/>
    </row>
    <row r="33" spans="1:9" ht="16.2" x14ac:dyDescent="0.3">
      <c r="A33" s="33" t="s">
        <v>125</v>
      </c>
      <c r="B33" s="17"/>
      <c r="G33" s="34"/>
      <c r="H33" s="34"/>
      <c r="I33" s="35"/>
    </row>
    <row r="34" spans="1:9" ht="17.25" customHeight="1" x14ac:dyDescent="0.3">
      <c r="B34" s="36"/>
      <c r="C34" s="37"/>
      <c r="D34" s="37"/>
      <c r="E34" s="37"/>
      <c r="F34" s="37"/>
    </row>
    <row r="35" spans="1:9" x14ac:dyDescent="0.3">
      <c r="B35" s="34"/>
      <c r="C35" s="34"/>
      <c r="D35" s="34"/>
      <c r="E35" s="35"/>
    </row>
  </sheetData>
  <mergeCells count="4">
    <mergeCell ref="D2:H2"/>
    <mergeCell ref="C4:H4"/>
    <mergeCell ref="C20:H20"/>
    <mergeCell ref="C26:H26"/>
  </mergeCells>
  <pageMargins left="0.25" right="0.25" top="0.75" bottom="0.75" header="0.3" footer="0.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sqref="A1:XFD1048576"/>
    </sheetView>
  </sheetViews>
  <sheetFormatPr defaultRowHeight="14.4" x14ac:dyDescent="0.3"/>
  <cols>
    <col min="1" max="1" width="24.6640625" style="17" customWidth="1"/>
    <col min="2" max="2" width="9.109375" style="18"/>
    <col min="3" max="3" width="15.109375" style="17" customWidth="1"/>
    <col min="4" max="6" width="14.109375" style="17" customWidth="1"/>
    <col min="7" max="7" width="15" style="17" customWidth="1"/>
    <col min="8" max="8" width="14.109375" style="17" customWidth="1"/>
    <col min="9" max="9" width="9.88671875" style="17" bestFit="1" customWidth="1"/>
    <col min="10" max="256" width="9.109375" style="17"/>
    <col min="257" max="257" width="24.6640625" style="17" customWidth="1"/>
    <col min="258" max="258" width="9.109375" style="17"/>
    <col min="259" max="259" width="15.109375" style="17" customWidth="1"/>
    <col min="260" max="262" width="14.109375" style="17" customWidth="1"/>
    <col min="263" max="263" width="15" style="17" customWidth="1"/>
    <col min="264" max="264" width="14.109375" style="17" customWidth="1"/>
    <col min="265" max="265" width="9.88671875" style="17" bestFit="1" customWidth="1"/>
    <col min="266" max="512" width="9.109375" style="17"/>
    <col min="513" max="513" width="24.6640625" style="17" customWidth="1"/>
    <col min="514" max="514" width="9.109375" style="17"/>
    <col min="515" max="515" width="15.109375" style="17" customWidth="1"/>
    <col min="516" max="518" width="14.109375" style="17" customWidth="1"/>
    <col min="519" max="519" width="15" style="17" customWidth="1"/>
    <col min="520" max="520" width="14.109375" style="17" customWidth="1"/>
    <col min="521" max="521" width="9.88671875" style="17" bestFit="1" customWidth="1"/>
    <col min="522" max="768" width="9.109375" style="17"/>
    <col min="769" max="769" width="24.6640625" style="17" customWidth="1"/>
    <col min="770" max="770" width="9.109375" style="17"/>
    <col min="771" max="771" width="15.109375" style="17" customWidth="1"/>
    <col min="772" max="774" width="14.109375" style="17" customWidth="1"/>
    <col min="775" max="775" width="15" style="17" customWidth="1"/>
    <col min="776" max="776" width="14.109375" style="17" customWidth="1"/>
    <col min="777" max="777" width="9.88671875" style="17" bestFit="1" customWidth="1"/>
    <col min="778" max="1024" width="9.109375" style="17"/>
    <col min="1025" max="1025" width="24.6640625" style="17" customWidth="1"/>
    <col min="1026" max="1026" width="9.109375" style="17"/>
    <col min="1027" max="1027" width="15.109375" style="17" customWidth="1"/>
    <col min="1028" max="1030" width="14.109375" style="17" customWidth="1"/>
    <col min="1031" max="1031" width="15" style="17" customWidth="1"/>
    <col min="1032" max="1032" width="14.109375" style="17" customWidth="1"/>
    <col min="1033" max="1033" width="9.88671875" style="17" bestFit="1" customWidth="1"/>
    <col min="1034" max="1280" width="9.109375" style="17"/>
    <col min="1281" max="1281" width="24.6640625" style="17" customWidth="1"/>
    <col min="1282" max="1282" width="9.109375" style="17"/>
    <col min="1283" max="1283" width="15.109375" style="17" customWidth="1"/>
    <col min="1284" max="1286" width="14.109375" style="17" customWidth="1"/>
    <col min="1287" max="1287" width="15" style="17" customWidth="1"/>
    <col min="1288" max="1288" width="14.109375" style="17" customWidth="1"/>
    <col min="1289" max="1289" width="9.88671875" style="17" bestFit="1" customWidth="1"/>
    <col min="1290" max="1536" width="9.109375" style="17"/>
    <col min="1537" max="1537" width="24.6640625" style="17" customWidth="1"/>
    <col min="1538" max="1538" width="9.109375" style="17"/>
    <col min="1539" max="1539" width="15.109375" style="17" customWidth="1"/>
    <col min="1540" max="1542" width="14.109375" style="17" customWidth="1"/>
    <col min="1543" max="1543" width="15" style="17" customWidth="1"/>
    <col min="1544" max="1544" width="14.109375" style="17" customWidth="1"/>
    <col min="1545" max="1545" width="9.88671875" style="17" bestFit="1" customWidth="1"/>
    <col min="1546" max="1792" width="9.109375" style="17"/>
    <col min="1793" max="1793" width="24.6640625" style="17" customWidth="1"/>
    <col min="1794" max="1794" width="9.109375" style="17"/>
    <col min="1795" max="1795" width="15.109375" style="17" customWidth="1"/>
    <col min="1796" max="1798" width="14.109375" style="17" customWidth="1"/>
    <col min="1799" max="1799" width="15" style="17" customWidth="1"/>
    <col min="1800" max="1800" width="14.109375" style="17" customWidth="1"/>
    <col min="1801" max="1801" width="9.88671875" style="17" bestFit="1" customWidth="1"/>
    <col min="1802" max="2048" width="9.109375" style="17"/>
    <col min="2049" max="2049" width="24.6640625" style="17" customWidth="1"/>
    <col min="2050" max="2050" width="9.109375" style="17"/>
    <col min="2051" max="2051" width="15.109375" style="17" customWidth="1"/>
    <col min="2052" max="2054" width="14.109375" style="17" customWidth="1"/>
    <col min="2055" max="2055" width="15" style="17" customWidth="1"/>
    <col min="2056" max="2056" width="14.109375" style="17" customWidth="1"/>
    <col min="2057" max="2057" width="9.88671875" style="17" bestFit="1" customWidth="1"/>
    <col min="2058" max="2304" width="9.109375" style="17"/>
    <col min="2305" max="2305" width="24.6640625" style="17" customWidth="1"/>
    <col min="2306" max="2306" width="9.109375" style="17"/>
    <col min="2307" max="2307" width="15.109375" style="17" customWidth="1"/>
    <col min="2308" max="2310" width="14.109375" style="17" customWidth="1"/>
    <col min="2311" max="2311" width="15" style="17" customWidth="1"/>
    <col min="2312" max="2312" width="14.109375" style="17" customWidth="1"/>
    <col min="2313" max="2313" width="9.88671875" style="17" bestFit="1" customWidth="1"/>
    <col min="2314" max="2560" width="9.109375" style="17"/>
    <col min="2561" max="2561" width="24.6640625" style="17" customWidth="1"/>
    <col min="2562" max="2562" width="9.109375" style="17"/>
    <col min="2563" max="2563" width="15.109375" style="17" customWidth="1"/>
    <col min="2564" max="2566" width="14.109375" style="17" customWidth="1"/>
    <col min="2567" max="2567" width="15" style="17" customWidth="1"/>
    <col min="2568" max="2568" width="14.109375" style="17" customWidth="1"/>
    <col min="2569" max="2569" width="9.88671875" style="17" bestFit="1" customWidth="1"/>
    <col min="2570" max="2816" width="9.109375" style="17"/>
    <col min="2817" max="2817" width="24.6640625" style="17" customWidth="1"/>
    <col min="2818" max="2818" width="9.109375" style="17"/>
    <col min="2819" max="2819" width="15.109375" style="17" customWidth="1"/>
    <col min="2820" max="2822" width="14.109375" style="17" customWidth="1"/>
    <col min="2823" max="2823" width="15" style="17" customWidth="1"/>
    <col min="2824" max="2824" width="14.109375" style="17" customWidth="1"/>
    <col min="2825" max="2825" width="9.88671875" style="17" bestFit="1" customWidth="1"/>
    <col min="2826" max="3072" width="9.109375" style="17"/>
    <col min="3073" max="3073" width="24.6640625" style="17" customWidth="1"/>
    <col min="3074" max="3074" width="9.109375" style="17"/>
    <col min="3075" max="3075" width="15.109375" style="17" customWidth="1"/>
    <col min="3076" max="3078" width="14.109375" style="17" customWidth="1"/>
    <col min="3079" max="3079" width="15" style="17" customWidth="1"/>
    <col min="3080" max="3080" width="14.109375" style="17" customWidth="1"/>
    <col min="3081" max="3081" width="9.88671875" style="17" bestFit="1" customWidth="1"/>
    <col min="3082" max="3328" width="9.109375" style="17"/>
    <col min="3329" max="3329" width="24.6640625" style="17" customWidth="1"/>
    <col min="3330" max="3330" width="9.109375" style="17"/>
    <col min="3331" max="3331" width="15.109375" style="17" customWidth="1"/>
    <col min="3332" max="3334" width="14.109375" style="17" customWidth="1"/>
    <col min="3335" max="3335" width="15" style="17" customWidth="1"/>
    <col min="3336" max="3336" width="14.109375" style="17" customWidth="1"/>
    <col min="3337" max="3337" width="9.88671875" style="17" bestFit="1" customWidth="1"/>
    <col min="3338" max="3584" width="9.109375" style="17"/>
    <col min="3585" max="3585" width="24.6640625" style="17" customWidth="1"/>
    <col min="3586" max="3586" width="9.109375" style="17"/>
    <col min="3587" max="3587" width="15.109375" style="17" customWidth="1"/>
    <col min="3588" max="3590" width="14.109375" style="17" customWidth="1"/>
    <col min="3591" max="3591" width="15" style="17" customWidth="1"/>
    <col min="3592" max="3592" width="14.109375" style="17" customWidth="1"/>
    <col min="3593" max="3593" width="9.88671875" style="17" bestFit="1" customWidth="1"/>
    <col min="3594" max="3840" width="9.109375" style="17"/>
    <col min="3841" max="3841" width="24.6640625" style="17" customWidth="1"/>
    <col min="3842" max="3842" width="9.109375" style="17"/>
    <col min="3843" max="3843" width="15.109375" style="17" customWidth="1"/>
    <col min="3844" max="3846" width="14.109375" style="17" customWidth="1"/>
    <col min="3847" max="3847" width="15" style="17" customWidth="1"/>
    <col min="3848" max="3848" width="14.109375" style="17" customWidth="1"/>
    <col min="3849" max="3849" width="9.88671875" style="17" bestFit="1" customWidth="1"/>
    <col min="3850" max="4096" width="9.109375" style="17"/>
    <col min="4097" max="4097" width="24.6640625" style="17" customWidth="1"/>
    <col min="4098" max="4098" width="9.109375" style="17"/>
    <col min="4099" max="4099" width="15.109375" style="17" customWidth="1"/>
    <col min="4100" max="4102" width="14.109375" style="17" customWidth="1"/>
    <col min="4103" max="4103" width="15" style="17" customWidth="1"/>
    <col min="4104" max="4104" width="14.109375" style="17" customWidth="1"/>
    <col min="4105" max="4105" width="9.88671875" style="17" bestFit="1" customWidth="1"/>
    <col min="4106" max="4352" width="9.109375" style="17"/>
    <col min="4353" max="4353" width="24.6640625" style="17" customWidth="1"/>
    <col min="4354" max="4354" width="9.109375" style="17"/>
    <col min="4355" max="4355" width="15.109375" style="17" customWidth="1"/>
    <col min="4356" max="4358" width="14.109375" style="17" customWidth="1"/>
    <col min="4359" max="4359" width="15" style="17" customWidth="1"/>
    <col min="4360" max="4360" width="14.109375" style="17" customWidth="1"/>
    <col min="4361" max="4361" width="9.88671875" style="17" bestFit="1" customWidth="1"/>
    <col min="4362" max="4608" width="9.109375" style="17"/>
    <col min="4609" max="4609" width="24.6640625" style="17" customWidth="1"/>
    <col min="4610" max="4610" width="9.109375" style="17"/>
    <col min="4611" max="4611" width="15.109375" style="17" customWidth="1"/>
    <col min="4612" max="4614" width="14.109375" style="17" customWidth="1"/>
    <col min="4615" max="4615" width="15" style="17" customWidth="1"/>
    <col min="4616" max="4616" width="14.109375" style="17" customWidth="1"/>
    <col min="4617" max="4617" width="9.88671875" style="17" bestFit="1" customWidth="1"/>
    <col min="4618" max="4864" width="9.109375" style="17"/>
    <col min="4865" max="4865" width="24.6640625" style="17" customWidth="1"/>
    <col min="4866" max="4866" width="9.109375" style="17"/>
    <col min="4867" max="4867" width="15.109375" style="17" customWidth="1"/>
    <col min="4868" max="4870" width="14.109375" style="17" customWidth="1"/>
    <col min="4871" max="4871" width="15" style="17" customWidth="1"/>
    <col min="4872" max="4872" width="14.109375" style="17" customWidth="1"/>
    <col min="4873" max="4873" width="9.88671875" style="17" bestFit="1" customWidth="1"/>
    <col min="4874" max="5120" width="9.109375" style="17"/>
    <col min="5121" max="5121" width="24.6640625" style="17" customWidth="1"/>
    <col min="5122" max="5122" width="9.109375" style="17"/>
    <col min="5123" max="5123" width="15.109375" style="17" customWidth="1"/>
    <col min="5124" max="5126" width="14.109375" style="17" customWidth="1"/>
    <col min="5127" max="5127" width="15" style="17" customWidth="1"/>
    <col min="5128" max="5128" width="14.109375" style="17" customWidth="1"/>
    <col min="5129" max="5129" width="9.88671875" style="17" bestFit="1" customWidth="1"/>
    <col min="5130" max="5376" width="9.109375" style="17"/>
    <col min="5377" max="5377" width="24.6640625" style="17" customWidth="1"/>
    <col min="5378" max="5378" width="9.109375" style="17"/>
    <col min="5379" max="5379" width="15.109375" style="17" customWidth="1"/>
    <col min="5380" max="5382" width="14.109375" style="17" customWidth="1"/>
    <col min="5383" max="5383" width="15" style="17" customWidth="1"/>
    <col min="5384" max="5384" width="14.109375" style="17" customWidth="1"/>
    <col min="5385" max="5385" width="9.88671875" style="17" bestFit="1" customWidth="1"/>
    <col min="5386" max="5632" width="9.109375" style="17"/>
    <col min="5633" max="5633" width="24.6640625" style="17" customWidth="1"/>
    <col min="5634" max="5634" width="9.109375" style="17"/>
    <col min="5635" max="5635" width="15.109375" style="17" customWidth="1"/>
    <col min="5636" max="5638" width="14.109375" style="17" customWidth="1"/>
    <col min="5639" max="5639" width="15" style="17" customWidth="1"/>
    <col min="5640" max="5640" width="14.109375" style="17" customWidth="1"/>
    <col min="5641" max="5641" width="9.88671875" style="17" bestFit="1" customWidth="1"/>
    <col min="5642" max="5888" width="9.109375" style="17"/>
    <col min="5889" max="5889" width="24.6640625" style="17" customWidth="1"/>
    <col min="5890" max="5890" width="9.109375" style="17"/>
    <col min="5891" max="5891" width="15.109375" style="17" customWidth="1"/>
    <col min="5892" max="5894" width="14.109375" style="17" customWidth="1"/>
    <col min="5895" max="5895" width="15" style="17" customWidth="1"/>
    <col min="5896" max="5896" width="14.109375" style="17" customWidth="1"/>
    <col min="5897" max="5897" width="9.88671875" style="17" bestFit="1" customWidth="1"/>
    <col min="5898" max="6144" width="9.109375" style="17"/>
    <col min="6145" max="6145" width="24.6640625" style="17" customWidth="1"/>
    <col min="6146" max="6146" width="9.109375" style="17"/>
    <col min="6147" max="6147" width="15.109375" style="17" customWidth="1"/>
    <col min="6148" max="6150" width="14.109375" style="17" customWidth="1"/>
    <col min="6151" max="6151" width="15" style="17" customWidth="1"/>
    <col min="6152" max="6152" width="14.109375" style="17" customWidth="1"/>
    <col min="6153" max="6153" width="9.88671875" style="17" bestFit="1" customWidth="1"/>
    <col min="6154" max="6400" width="9.109375" style="17"/>
    <col min="6401" max="6401" width="24.6640625" style="17" customWidth="1"/>
    <col min="6402" max="6402" width="9.109375" style="17"/>
    <col min="6403" max="6403" width="15.109375" style="17" customWidth="1"/>
    <col min="6404" max="6406" width="14.109375" style="17" customWidth="1"/>
    <col min="6407" max="6407" width="15" style="17" customWidth="1"/>
    <col min="6408" max="6408" width="14.109375" style="17" customWidth="1"/>
    <col min="6409" max="6409" width="9.88671875" style="17" bestFit="1" customWidth="1"/>
    <col min="6410" max="6656" width="9.109375" style="17"/>
    <col min="6657" max="6657" width="24.6640625" style="17" customWidth="1"/>
    <col min="6658" max="6658" width="9.109375" style="17"/>
    <col min="6659" max="6659" width="15.109375" style="17" customWidth="1"/>
    <col min="6660" max="6662" width="14.109375" style="17" customWidth="1"/>
    <col min="6663" max="6663" width="15" style="17" customWidth="1"/>
    <col min="6664" max="6664" width="14.109375" style="17" customWidth="1"/>
    <col min="6665" max="6665" width="9.88671875" style="17" bestFit="1" customWidth="1"/>
    <col min="6666" max="6912" width="9.109375" style="17"/>
    <col min="6913" max="6913" width="24.6640625" style="17" customWidth="1"/>
    <col min="6914" max="6914" width="9.109375" style="17"/>
    <col min="6915" max="6915" width="15.109375" style="17" customWidth="1"/>
    <col min="6916" max="6918" width="14.109375" style="17" customWidth="1"/>
    <col min="6919" max="6919" width="15" style="17" customWidth="1"/>
    <col min="6920" max="6920" width="14.109375" style="17" customWidth="1"/>
    <col min="6921" max="6921" width="9.88671875" style="17" bestFit="1" customWidth="1"/>
    <col min="6922" max="7168" width="9.109375" style="17"/>
    <col min="7169" max="7169" width="24.6640625" style="17" customWidth="1"/>
    <col min="7170" max="7170" width="9.109375" style="17"/>
    <col min="7171" max="7171" width="15.109375" style="17" customWidth="1"/>
    <col min="7172" max="7174" width="14.109375" style="17" customWidth="1"/>
    <col min="7175" max="7175" width="15" style="17" customWidth="1"/>
    <col min="7176" max="7176" width="14.109375" style="17" customWidth="1"/>
    <col min="7177" max="7177" width="9.88671875" style="17" bestFit="1" customWidth="1"/>
    <col min="7178" max="7424" width="9.109375" style="17"/>
    <col min="7425" max="7425" width="24.6640625" style="17" customWidth="1"/>
    <col min="7426" max="7426" width="9.109375" style="17"/>
    <col min="7427" max="7427" width="15.109375" style="17" customWidth="1"/>
    <col min="7428" max="7430" width="14.109375" style="17" customWidth="1"/>
    <col min="7431" max="7431" width="15" style="17" customWidth="1"/>
    <col min="7432" max="7432" width="14.109375" style="17" customWidth="1"/>
    <col min="7433" max="7433" width="9.88671875" style="17" bestFit="1" customWidth="1"/>
    <col min="7434" max="7680" width="9.109375" style="17"/>
    <col min="7681" max="7681" width="24.6640625" style="17" customWidth="1"/>
    <col min="7682" max="7682" width="9.109375" style="17"/>
    <col min="7683" max="7683" width="15.109375" style="17" customWidth="1"/>
    <col min="7684" max="7686" width="14.109375" style="17" customWidth="1"/>
    <col min="7687" max="7687" width="15" style="17" customWidth="1"/>
    <col min="7688" max="7688" width="14.109375" style="17" customWidth="1"/>
    <col min="7689" max="7689" width="9.88671875" style="17" bestFit="1" customWidth="1"/>
    <col min="7690" max="7936" width="9.109375" style="17"/>
    <col min="7937" max="7937" width="24.6640625" style="17" customWidth="1"/>
    <col min="7938" max="7938" width="9.109375" style="17"/>
    <col min="7939" max="7939" width="15.109375" style="17" customWidth="1"/>
    <col min="7940" max="7942" width="14.109375" style="17" customWidth="1"/>
    <col min="7943" max="7943" width="15" style="17" customWidth="1"/>
    <col min="7944" max="7944" width="14.109375" style="17" customWidth="1"/>
    <col min="7945" max="7945" width="9.88671875" style="17" bestFit="1" customWidth="1"/>
    <col min="7946" max="8192" width="9.109375" style="17"/>
    <col min="8193" max="8193" width="24.6640625" style="17" customWidth="1"/>
    <col min="8194" max="8194" width="9.109375" style="17"/>
    <col min="8195" max="8195" width="15.109375" style="17" customWidth="1"/>
    <col min="8196" max="8198" width="14.109375" style="17" customWidth="1"/>
    <col min="8199" max="8199" width="15" style="17" customWidth="1"/>
    <col min="8200" max="8200" width="14.109375" style="17" customWidth="1"/>
    <col min="8201" max="8201" width="9.88671875" style="17" bestFit="1" customWidth="1"/>
    <col min="8202" max="8448" width="9.109375" style="17"/>
    <col min="8449" max="8449" width="24.6640625" style="17" customWidth="1"/>
    <col min="8450" max="8450" width="9.109375" style="17"/>
    <col min="8451" max="8451" width="15.109375" style="17" customWidth="1"/>
    <col min="8452" max="8454" width="14.109375" style="17" customWidth="1"/>
    <col min="8455" max="8455" width="15" style="17" customWidth="1"/>
    <col min="8456" max="8456" width="14.109375" style="17" customWidth="1"/>
    <col min="8457" max="8457" width="9.88671875" style="17" bestFit="1" customWidth="1"/>
    <col min="8458" max="8704" width="9.109375" style="17"/>
    <col min="8705" max="8705" width="24.6640625" style="17" customWidth="1"/>
    <col min="8706" max="8706" width="9.109375" style="17"/>
    <col min="8707" max="8707" width="15.109375" style="17" customWidth="1"/>
    <col min="8708" max="8710" width="14.109375" style="17" customWidth="1"/>
    <col min="8711" max="8711" width="15" style="17" customWidth="1"/>
    <col min="8712" max="8712" width="14.109375" style="17" customWidth="1"/>
    <col min="8713" max="8713" width="9.88671875" style="17" bestFit="1" customWidth="1"/>
    <col min="8714" max="8960" width="9.109375" style="17"/>
    <col min="8961" max="8961" width="24.6640625" style="17" customWidth="1"/>
    <col min="8962" max="8962" width="9.109375" style="17"/>
    <col min="8963" max="8963" width="15.109375" style="17" customWidth="1"/>
    <col min="8964" max="8966" width="14.109375" style="17" customWidth="1"/>
    <col min="8967" max="8967" width="15" style="17" customWidth="1"/>
    <col min="8968" max="8968" width="14.109375" style="17" customWidth="1"/>
    <col min="8969" max="8969" width="9.88671875" style="17" bestFit="1" customWidth="1"/>
    <col min="8970" max="9216" width="9.109375" style="17"/>
    <col min="9217" max="9217" width="24.6640625" style="17" customWidth="1"/>
    <col min="9218" max="9218" width="9.109375" style="17"/>
    <col min="9219" max="9219" width="15.109375" style="17" customWidth="1"/>
    <col min="9220" max="9222" width="14.109375" style="17" customWidth="1"/>
    <col min="9223" max="9223" width="15" style="17" customWidth="1"/>
    <col min="9224" max="9224" width="14.109375" style="17" customWidth="1"/>
    <col min="9225" max="9225" width="9.88671875" style="17" bestFit="1" customWidth="1"/>
    <col min="9226" max="9472" width="9.109375" style="17"/>
    <col min="9473" max="9473" width="24.6640625" style="17" customWidth="1"/>
    <col min="9474" max="9474" width="9.109375" style="17"/>
    <col min="9475" max="9475" width="15.109375" style="17" customWidth="1"/>
    <col min="9476" max="9478" width="14.109375" style="17" customWidth="1"/>
    <col min="9479" max="9479" width="15" style="17" customWidth="1"/>
    <col min="9480" max="9480" width="14.109375" style="17" customWidth="1"/>
    <col min="9481" max="9481" width="9.88671875" style="17" bestFit="1" customWidth="1"/>
    <col min="9482" max="9728" width="9.109375" style="17"/>
    <col min="9729" max="9729" width="24.6640625" style="17" customWidth="1"/>
    <col min="9730" max="9730" width="9.109375" style="17"/>
    <col min="9731" max="9731" width="15.109375" style="17" customWidth="1"/>
    <col min="9732" max="9734" width="14.109375" style="17" customWidth="1"/>
    <col min="9735" max="9735" width="15" style="17" customWidth="1"/>
    <col min="9736" max="9736" width="14.109375" style="17" customWidth="1"/>
    <col min="9737" max="9737" width="9.88671875" style="17" bestFit="1" customWidth="1"/>
    <col min="9738" max="9984" width="9.109375" style="17"/>
    <col min="9985" max="9985" width="24.6640625" style="17" customWidth="1"/>
    <col min="9986" max="9986" width="9.109375" style="17"/>
    <col min="9987" max="9987" width="15.109375" style="17" customWidth="1"/>
    <col min="9988" max="9990" width="14.109375" style="17" customWidth="1"/>
    <col min="9991" max="9991" width="15" style="17" customWidth="1"/>
    <col min="9992" max="9992" width="14.109375" style="17" customWidth="1"/>
    <col min="9993" max="9993" width="9.88671875" style="17" bestFit="1" customWidth="1"/>
    <col min="9994" max="10240" width="9.109375" style="17"/>
    <col min="10241" max="10241" width="24.6640625" style="17" customWidth="1"/>
    <col min="10242" max="10242" width="9.109375" style="17"/>
    <col min="10243" max="10243" width="15.109375" style="17" customWidth="1"/>
    <col min="10244" max="10246" width="14.109375" style="17" customWidth="1"/>
    <col min="10247" max="10247" width="15" style="17" customWidth="1"/>
    <col min="10248" max="10248" width="14.109375" style="17" customWidth="1"/>
    <col min="10249" max="10249" width="9.88671875" style="17" bestFit="1" customWidth="1"/>
    <col min="10250" max="10496" width="9.109375" style="17"/>
    <col min="10497" max="10497" width="24.6640625" style="17" customWidth="1"/>
    <col min="10498" max="10498" width="9.109375" style="17"/>
    <col min="10499" max="10499" width="15.109375" style="17" customWidth="1"/>
    <col min="10500" max="10502" width="14.109375" style="17" customWidth="1"/>
    <col min="10503" max="10503" width="15" style="17" customWidth="1"/>
    <col min="10504" max="10504" width="14.109375" style="17" customWidth="1"/>
    <col min="10505" max="10505" width="9.88671875" style="17" bestFit="1" customWidth="1"/>
    <col min="10506" max="10752" width="9.109375" style="17"/>
    <col min="10753" max="10753" width="24.6640625" style="17" customWidth="1"/>
    <col min="10754" max="10754" width="9.109375" style="17"/>
    <col min="10755" max="10755" width="15.109375" style="17" customWidth="1"/>
    <col min="10756" max="10758" width="14.109375" style="17" customWidth="1"/>
    <col min="10759" max="10759" width="15" style="17" customWidth="1"/>
    <col min="10760" max="10760" width="14.109375" style="17" customWidth="1"/>
    <col min="10761" max="10761" width="9.88671875" style="17" bestFit="1" customWidth="1"/>
    <col min="10762" max="11008" width="9.109375" style="17"/>
    <col min="11009" max="11009" width="24.6640625" style="17" customWidth="1"/>
    <col min="11010" max="11010" width="9.109375" style="17"/>
    <col min="11011" max="11011" width="15.109375" style="17" customWidth="1"/>
    <col min="11012" max="11014" width="14.109375" style="17" customWidth="1"/>
    <col min="11015" max="11015" width="15" style="17" customWidth="1"/>
    <col min="11016" max="11016" width="14.109375" style="17" customWidth="1"/>
    <col min="11017" max="11017" width="9.88671875" style="17" bestFit="1" customWidth="1"/>
    <col min="11018" max="11264" width="9.109375" style="17"/>
    <col min="11265" max="11265" width="24.6640625" style="17" customWidth="1"/>
    <col min="11266" max="11266" width="9.109375" style="17"/>
    <col min="11267" max="11267" width="15.109375" style="17" customWidth="1"/>
    <col min="11268" max="11270" width="14.109375" style="17" customWidth="1"/>
    <col min="11271" max="11271" width="15" style="17" customWidth="1"/>
    <col min="11272" max="11272" width="14.109375" style="17" customWidth="1"/>
    <col min="11273" max="11273" width="9.88671875" style="17" bestFit="1" customWidth="1"/>
    <col min="11274" max="11520" width="9.109375" style="17"/>
    <col min="11521" max="11521" width="24.6640625" style="17" customWidth="1"/>
    <col min="11522" max="11522" width="9.109375" style="17"/>
    <col min="11523" max="11523" width="15.109375" style="17" customWidth="1"/>
    <col min="11524" max="11526" width="14.109375" style="17" customWidth="1"/>
    <col min="11527" max="11527" width="15" style="17" customWidth="1"/>
    <col min="11528" max="11528" width="14.109375" style="17" customWidth="1"/>
    <col min="11529" max="11529" width="9.88671875" style="17" bestFit="1" customWidth="1"/>
    <col min="11530" max="11776" width="9.109375" style="17"/>
    <col min="11777" max="11777" width="24.6640625" style="17" customWidth="1"/>
    <col min="11778" max="11778" width="9.109375" style="17"/>
    <col min="11779" max="11779" width="15.109375" style="17" customWidth="1"/>
    <col min="11780" max="11782" width="14.109375" style="17" customWidth="1"/>
    <col min="11783" max="11783" width="15" style="17" customWidth="1"/>
    <col min="11784" max="11784" width="14.109375" style="17" customWidth="1"/>
    <col min="11785" max="11785" width="9.88671875" style="17" bestFit="1" customWidth="1"/>
    <col min="11786" max="12032" width="9.109375" style="17"/>
    <col min="12033" max="12033" width="24.6640625" style="17" customWidth="1"/>
    <col min="12034" max="12034" width="9.109375" style="17"/>
    <col min="12035" max="12035" width="15.109375" style="17" customWidth="1"/>
    <col min="12036" max="12038" width="14.109375" style="17" customWidth="1"/>
    <col min="12039" max="12039" width="15" style="17" customWidth="1"/>
    <col min="12040" max="12040" width="14.109375" style="17" customWidth="1"/>
    <col min="12041" max="12041" width="9.88671875" style="17" bestFit="1" customWidth="1"/>
    <col min="12042" max="12288" width="9.109375" style="17"/>
    <col min="12289" max="12289" width="24.6640625" style="17" customWidth="1"/>
    <col min="12290" max="12290" width="9.109375" style="17"/>
    <col min="12291" max="12291" width="15.109375" style="17" customWidth="1"/>
    <col min="12292" max="12294" width="14.109375" style="17" customWidth="1"/>
    <col min="12295" max="12295" width="15" style="17" customWidth="1"/>
    <col min="12296" max="12296" width="14.109375" style="17" customWidth="1"/>
    <col min="12297" max="12297" width="9.88671875" style="17" bestFit="1" customWidth="1"/>
    <col min="12298" max="12544" width="9.109375" style="17"/>
    <col min="12545" max="12545" width="24.6640625" style="17" customWidth="1"/>
    <col min="12546" max="12546" width="9.109375" style="17"/>
    <col min="12547" max="12547" width="15.109375" style="17" customWidth="1"/>
    <col min="12548" max="12550" width="14.109375" style="17" customWidth="1"/>
    <col min="12551" max="12551" width="15" style="17" customWidth="1"/>
    <col min="12552" max="12552" width="14.109375" style="17" customWidth="1"/>
    <col min="12553" max="12553" width="9.88671875" style="17" bestFit="1" customWidth="1"/>
    <col min="12554" max="12800" width="9.109375" style="17"/>
    <col min="12801" max="12801" width="24.6640625" style="17" customWidth="1"/>
    <col min="12802" max="12802" width="9.109375" style="17"/>
    <col min="12803" max="12803" width="15.109375" style="17" customWidth="1"/>
    <col min="12804" max="12806" width="14.109375" style="17" customWidth="1"/>
    <col min="12807" max="12807" width="15" style="17" customWidth="1"/>
    <col min="12808" max="12808" width="14.109375" style="17" customWidth="1"/>
    <col min="12809" max="12809" width="9.88671875" style="17" bestFit="1" customWidth="1"/>
    <col min="12810" max="13056" width="9.109375" style="17"/>
    <col min="13057" max="13057" width="24.6640625" style="17" customWidth="1"/>
    <col min="13058" max="13058" width="9.109375" style="17"/>
    <col min="13059" max="13059" width="15.109375" style="17" customWidth="1"/>
    <col min="13060" max="13062" width="14.109375" style="17" customWidth="1"/>
    <col min="13063" max="13063" width="15" style="17" customWidth="1"/>
    <col min="13064" max="13064" width="14.109375" style="17" customWidth="1"/>
    <col min="13065" max="13065" width="9.88671875" style="17" bestFit="1" customWidth="1"/>
    <col min="13066" max="13312" width="9.109375" style="17"/>
    <col min="13313" max="13313" width="24.6640625" style="17" customWidth="1"/>
    <col min="13314" max="13314" width="9.109375" style="17"/>
    <col min="13315" max="13315" width="15.109375" style="17" customWidth="1"/>
    <col min="13316" max="13318" width="14.109375" style="17" customWidth="1"/>
    <col min="13319" max="13319" width="15" style="17" customWidth="1"/>
    <col min="13320" max="13320" width="14.109375" style="17" customWidth="1"/>
    <col min="13321" max="13321" width="9.88671875" style="17" bestFit="1" customWidth="1"/>
    <col min="13322" max="13568" width="9.109375" style="17"/>
    <col min="13569" max="13569" width="24.6640625" style="17" customWidth="1"/>
    <col min="13570" max="13570" width="9.109375" style="17"/>
    <col min="13571" max="13571" width="15.109375" style="17" customWidth="1"/>
    <col min="13572" max="13574" width="14.109375" style="17" customWidth="1"/>
    <col min="13575" max="13575" width="15" style="17" customWidth="1"/>
    <col min="13576" max="13576" width="14.109375" style="17" customWidth="1"/>
    <col min="13577" max="13577" width="9.88671875" style="17" bestFit="1" customWidth="1"/>
    <col min="13578" max="13824" width="9.109375" style="17"/>
    <col min="13825" max="13825" width="24.6640625" style="17" customWidth="1"/>
    <col min="13826" max="13826" width="9.109375" style="17"/>
    <col min="13827" max="13827" width="15.109375" style="17" customWidth="1"/>
    <col min="13828" max="13830" width="14.109375" style="17" customWidth="1"/>
    <col min="13831" max="13831" width="15" style="17" customWidth="1"/>
    <col min="13832" max="13832" width="14.109375" style="17" customWidth="1"/>
    <col min="13833" max="13833" width="9.88671875" style="17" bestFit="1" customWidth="1"/>
    <col min="13834" max="14080" width="9.109375" style="17"/>
    <col min="14081" max="14081" width="24.6640625" style="17" customWidth="1"/>
    <col min="14082" max="14082" width="9.109375" style="17"/>
    <col min="14083" max="14083" width="15.109375" style="17" customWidth="1"/>
    <col min="14084" max="14086" width="14.109375" style="17" customWidth="1"/>
    <col min="14087" max="14087" width="15" style="17" customWidth="1"/>
    <col min="14088" max="14088" width="14.109375" style="17" customWidth="1"/>
    <col min="14089" max="14089" width="9.88671875" style="17" bestFit="1" customWidth="1"/>
    <col min="14090" max="14336" width="9.109375" style="17"/>
    <col min="14337" max="14337" width="24.6640625" style="17" customWidth="1"/>
    <col min="14338" max="14338" width="9.109375" style="17"/>
    <col min="14339" max="14339" width="15.109375" style="17" customWidth="1"/>
    <col min="14340" max="14342" width="14.109375" style="17" customWidth="1"/>
    <col min="14343" max="14343" width="15" style="17" customWidth="1"/>
    <col min="14344" max="14344" width="14.109375" style="17" customWidth="1"/>
    <col min="14345" max="14345" width="9.88671875" style="17" bestFit="1" customWidth="1"/>
    <col min="14346" max="14592" width="9.109375" style="17"/>
    <col min="14593" max="14593" width="24.6640625" style="17" customWidth="1"/>
    <col min="14594" max="14594" width="9.109375" style="17"/>
    <col min="14595" max="14595" width="15.109375" style="17" customWidth="1"/>
    <col min="14596" max="14598" width="14.109375" style="17" customWidth="1"/>
    <col min="14599" max="14599" width="15" style="17" customWidth="1"/>
    <col min="14600" max="14600" width="14.109375" style="17" customWidth="1"/>
    <col min="14601" max="14601" width="9.88671875" style="17" bestFit="1" customWidth="1"/>
    <col min="14602" max="14848" width="9.109375" style="17"/>
    <col min="14849" max="14849" width="24.6640625" style="17" customWidth="1"/>
    <col min="14850" max="14850" width="9.109375" style="17"/>
    <col min="14851" max="14851" width="15.109375" style="17" customWidth="1"/>
    <col min="14852" max="14854" width="14.109375" style="17" customWidth="1"/>
    <col min="14855" max="14855" width="15" style="17" customWidth="1"/>
    <col min="14856" max="14856" width="14.109375" style="17" customWidth="1"/>
    <col min="14857" max="14857" width="9.88671875" style="17" bestFit="1" customWidth="1"/>
    <col min="14858" max="15104" width="9.109375" style="17"/>
    <col min="15105" max="15105" width="24.6640625" style="17" customWidth="1"/>
    <col min="15106" max="15106" width="9.109375" style="17"/>
    <col min="15107" max="15107" width="15.109375" style="17" customWidth="1"/>
    <col min="15108" max="15110" width="14.109375" style="17" customWidth="1"/>
    <col min="15111" max="15111" width="15" style="17" customWidth="1"/>
    <col min="15112" max="15112" width="14.109375" style="17" customWidth="1"/>
    <col min="15113" max="15113" width="9.88671875" style="17" bestFit="1" customWidth="1"/>
    <col min="15114" max="15360" width="9.109375" style="17"/>
    <col min="15361" max="15361" width="24.6640625" style="17" customWidth="1"/>
    <col min="15362" max="15362" width="9.109375" style="17"/>
    <col min="15363" max="15363" width="15.109375" style="17" customWidth="1"/>
    <col min="15364" max="15366" width="14.109375" style="17" customWidth="1"/>
    <col min="15367" max="15367" width="15" style="17" customWidth="1"/>
    <col min="15368" max="15368" width="14.109375" style="17" customWidth="1"/>
    <col min="15369" max="15369" width="9.88671875" style="17" bestFit="1" customWidth="1"/>
    <col min="15370" max="15616" width="9.109375" style="17"/>
    <col min="15617" max="15617" width="24.6640625" style="17" customWidth="1"/>
    <col min="15618" max="15618" width="9.109375" style="17"/>
    <col min="15619" max="15619" width="15.109375" style="17" customWidth="1"/>
    <col min="15620" max="15622" width="14.109375" style="17" customWidth="1"/>
    <col min="15623" max="15623" width="15" style="17" customWidth="1"/>
    <col min="15624" max="15624" width="14.109375" style="17" customWidth="1"/>
    <col min="15625" max="15625" width="9.88671875" style="17" bestFit="1" customWidth="1"/>
    <col min="15626" max="15872" width="9.109375" style="17"/>
    <col min="15873" max="15873" width="24.6640625" style="17" customWidth="1"/>
    <col min="15874" max="15874" width="9.109375" style="17"/>
    <col min="15875" max="15875" width="15.109375" style="17" customWidth="1"/>
    <col min="15876" max="15878" width="14.109375" style="17" customWidth="1"/>
    <col min="15879" max="15879" width="15" style="17" customWidth="1"/>
    <col min="15880" max="15880" width="14.109375" style="17" customWidth="1"/>
    <col min="15881" max="15881" width="9.88671875" style="17" bestFit="1" customWidth="1"/>
    <col min="15882" max="16128" width="9.109375" style="17"/>
    <col min="16129" max="16129" width="24.6640625" style="17" customWidth="1"/>
    <col min="16130" max="16130" width="9.109375" style="17"/>
    <col min="16131" max="16131" width="15.109375" style="17" customWidth="1"/>
    <col min="16132" max="16134" width="14.109375" style="17" customWidth="1"/>
    <col min="16135" max="16135" width="15" style="17" customWidth="1"/>
    <col min="16136" max="16136" width="14.109375" style="17" customWidth="1"/>
    <col min="16137" max="16137" width="9.88671875" style="17" bestFit="1" customWidth="1"/>
    <col min="16138" max="16384" width="9.109375" style="17"/>
  </cols>
  <sheetData>
    <row r="1" spans="1:10" ht="24.75" customHeight="1" thickBot="1" x14ac:dyDescent="0.35">
      <c r="A1" s="13" t="s">
        <v>45</v>
      </c>
      <c r="B1" s="14"/>
      <c r="C1" s="15"/>
      <c r="D1" s="15"/>
      <c r="E1" s="15"/>
      <c r="F1" s="15"/>
      <c r="G1" s="15"/>
      <c r="H1" s="15"/>
      <c r="I1" s="16"/>
      <c r="J1" s="16"/>
    </row>
    <row r="2" spans="1:10" ht="19.5" customHeight="1" x14ac:dyDescent="0.3">
      <c r="D2" s="128" t="s">
        <v>30</v>
      </c>
      <c r="E2" s="129"/>
      <c r="F2" s="129"/>
      <c r="G2" s="130"/>
      <c r="H2" s="130"/>
      <c r="I2" s="16"/>
      <c r="J2" s="16"/>
    </row>
    <row r="3" spans="1:10" ht="54" customHeight="1" x14ac:dyDescent="0.3">
      <c r="A3" s="19" t="s">
        <v>31</v>
      </c>
      <c r="B3" s="19" t="s">
        <v>32</v>
      </c>
      <c r="C3" s="19" t="s">
        <v>33</v>
      </c>
      <c r="D3" s="20" t="s">
        <v>34</v>
      </c>
      <c r="E3" s="20" t="s">
        <v>4</v>
      </c>
      <c r="F3" s="20" t="s">
        <v>35</v>
      </c>
      <c r="G3" s="20" t="s">
        <v>7</v>
      </c>
      <c r="H3" s="20" t="s">
        <v>8</v>
      </c>
      <c r="I3" s="16"/>
      <c r="J3" s="16"/>
    </row>
    <row r="4" spans="1:10" ht="30.75" customHeight="1" x14ac:dyDescent="0.3">
      <c r="C4" s="124" t="s">
        <v>46</v>
      </c>
      <c r="D4" s="125"/>
      <c r="E4" s="125"/>
      <c r="F4" s="125"/>
      <c r="G4" s="125"/>
      <c r="H4" s="125"/>
    </row>
    <row r="5" spans="1:10" ht="30.75" customHeight="1" x14ac:dyDescent="0.3">
      <c r="A5" s="21" t="s">
        <v>47</v>
      </c>
      <c r="B5" s="18">
        <v>2012</v>
      </c>
      <c r="C5" s="22">
        <v>23.69</v>
      </c>
      <c r="D5" s="22">
        <v>20.420000000000002</v>
      </c>
      <c r="E5" s="22">
        <v>32.29</v>
      </c>
      <c r="F5" s="22">
        <v>24.06</v>
      </c>
      <c r="G5" s="38"/>
      <c r="H5" s="38"/>
    </row>
    <row r="6" spans="1:10" x14ac:dyDescent="0.3">
      <c r="B6" s="18">
        <v>2007</v>
      </c>
      <c r="C6" s="22">
        <v>23.68</v>
      </c>
      <c r="D6" s="22">
        <v>18.399999999999999</v>
      </c>
      <c r="E6" s="22">
        <v>48.22</v>
      </c>
      <c r="F6" s="22">
        <v>24.71</v>
      </c>
    </row>
    <row r="7" spans="1:10" x14ac:dyDescent="0.3">
      <c r="B7" s="18">
        <v>2002</v>
      </c>
      <c r="C7" s="22">
        <v>15.73</v>
      </c>
      <c r="D7" s="22">
        <v>12.84</v>
      </c>
      <c r="E7" s="22">
        <v>18.3</v>
      </c>
      <c r="F7" s="22">
        <v>16.690000000000001</v>
      </c>
      <c r="G7" s="17">
        <v>15.36</v>
      </c>
    </row>
    <row r="8" spans="1:10" x14ac:dyDescent="0.3">
      <c r="B8" s="18">
        <v>1997</v>
      </c>
      <c r="C8" s="22">
        <v>18.75</v>
      </c>
      <c r="D8" s="22">
        <v>14.63</v>
      </c>
      <c r="E8" s="22">
        <v>23.16</v>
      </c>
      <c r="F8" s="22">
        <v>21.09</v>
      </c>
      <c r="G8" s="17">
        <v>14.77</v>
      </c>
    </row>
    <row r="9" spans="1:10" x14ac:dyDescent="0.3">
      <c r="B9" s="23">
        <v>1980</v>
      </c>
      <c r="C9" s="22">
        <f>14401170/C33/10</f>
        <v>15.372582389466743</v>
      </c>
      <c r="D9" s="22">
        <f>2706617/D33/10</f>
        <v>13.762226063965016</v>
      </c>
      <c r="E9" s="22"/>
      <c r="F9" s="22">
        <f>4176427/F33/10</f>
        <v>17.597416242060746</v>
      </c>
      <c r="H9" s="22">
        <f>7518126/502807.87</f>
        <v>14.952283861428024</v>
      </c>
    </row>
    <row r="10" spans="1:10" x14ac:dyDescent="0.3">
      <c r="B10" s="23"/>
      <c r="C10" s="22"/>
      <c r="D10" s="22"/>
      <c r="E10" s="22"/>
      <c r="F10" s="22"/>
      <c r="H10" s="22"/>
    </row>
    <row r="11" spans="1:10" ht="28.5" customHeight="1" x14ac:dyDescent="0.3">
      <c r="A11" s="21" t="s">
        <v>48</v>
      </c>
      <c r="B11" s="18">
        <v>2012</v>
      </c>
      <c r="C11" s="22">
        <v>30.56</v>
      </c>
      <c r="D11" s="22">
        <v>21.61</v>
      </c>
      <c r="E11" s="22">
        <v>32.69</v>
      </c>
      <c r="F11" s="22">
        <v>31.59</v>
      </c>
      <c r="G11" s="38"/>
      <c r="H11" s="38"/>
    </row>
    <row r="12" spans="1:10" x14ac:dyDescent="0.3">
      <c r="B12" s="18">
        <v>2007</v>
      </c>
      <c r="C12" s="22">
        <v>27.03</v>
      </c>
      <c r="D12" s="22">
        <v>19.27</v>
      </c>
      <c r="E12" s="22">
        <v>48.3</v>
      </c>
      <c r="F12" s="22">
        <v>28.65</v>
      </c>
    </row>
    <row r="13" spans="1:10" x14ac:dyDescent="0.3">
      <c r="B13" s="18">
        <v>2002</v>
      </c>
      <c r="C13" s="22">
        <v>18.27</v>
      </c>
      <c r="D13" s="22">
        <v>13.75</v>
      </c>
      <c r="E13" s="22">
        <v>21.94</v>
      </c>
      <c r="F13" s="22">
        <v>19.96</v>
      </c>
      <c r="G13" s="22">
        <v>16.25</v>
      </c>
      <c r="H13" s="22"/>
    </row>
    <row r="14" spans="1:10" x14ac:dyDescent="0.3">
      <c r="B14" s="18">
        <v>1997</v>
      </c>
      <c r="C14" s="22">
        <v>21.25</v>
      </c>
      <c r="D14" s="22">
        <v>16.71</v>
      </c>
      <c r="E14" s="22">
        <v>24.04</v>
      </c>
      <c r="F14" s="22">
        <v>24.36</v>
      </c>
      <c r="G14" s="22">
        <v>15.2</v>
      </c>
      <c r="H14" s="22"/>
    </row>
    <row r="15" spans="1:10" ht="33" customHeight="1" x14ac:dyDescent="0.3">
      <c r="B15" s="23">
        <v>1980</v>
      </c>
      <c r="C15" s="22">
        <f>14831573/C33/10</f>
        <v>15.832017669945596</v>
      </c>
      <c r="D15" s="22">
        <f>(2830270+2803)/D33/10</f>
        <v>14.405211776071592</v>
      </c>
      <c r="E15" s="22"/>
      <c r="F15" s="22">
        <f>(4372549+2410)/F33/10</f>
        <v>18.433932776737112</v>
      </c>
      <c r="G15" s="22"/>
      <c r="H15" s="22">
        <f>7628754/502808.87</f>
        <v>15.172274108847761</v>
      </c>
    </row>
    <row r="16" spans="1:10" x14ac:dyDescent="0.3">
      <c r="B16" s="23"/>
      <c r="C16" s="22"/>
      <c r="D16" s="22"/>
      <c r="E16" s="22"/>
      <c r="F16" s="22"/>
      <c r="G16" s="22"/>
      <c r="H16" s="22"/>
    </row>
    <row r="17" spans="1:9" x14ac:dyDescent="0.3">
      <c r="A17" s="21" t="s">
        <v>49</v>
      </c>
      <c r="B17" s="18">
        <v>2012</v>
      </c>
      <c r="C17" s="22">
        <v>0.19</v>
      </c>
      <c r="D17" s="22">
        <v>7.0000000000000007E-2</v>
      </c>
      <c r="E17" s="22">
        <v>0</v>
      </c>
      <c r="F17" s="22">
        <v>0.2</v>
      </c>
      <c r="G17" s="22"/>
      <c r="H17" s="38"/>
    </row>
    <row r="18" spans="1:9" s="16" customFormat="1" x14ac:dyDescent="0.3">
      <c r="A18" s="17"/>
      <c r="B18" s="18">
        <v>2007</v>
      </c>
      <c r="C18" s="22">
        <v>0.25</v>
      </c>
      <c r="D18" s="22">
        <v>0.05</v>
      </c>
      <c r="E18" s="22">
        <v>0.66</v>
      </c>
      <c r="F18" s="22">
        <v>0.28999999999999998</v>
      </c>
      <c r="G18" s="22"/>
      <c r="H18" s="22"/>
    </row>
    <row r="19" spans="1:9" s="16" customFormat="1" x14ac:dyDescent="0.3">
      <c r="B19" s="18">
        <v>2002</v>
      </c>
      <c r="C19" s="22">
        <v>0.21</v>
      </c>
      <c r="D19" s="22">
        <v>0.04</v>
      </c>
      <c r="E19" s="22">
        <v>0.32</v>
      </c>
      <c r="F19" s="22">
        <v>0.27</v>
      </c>
      <c r="G19" s="22">
        <v>0.15</v>
      </c>
      <c r="H19" s="22"/>
    </row>
    <row r="20" spans="1:9" x14ac:dyDescent="0.3">
      <c r="B20" s="23">
        <v>1997</v>
      </c>
      <c r="C20" s="39">
        <v>0.28000000000000003</v>
      </c>
      <c r="D20" s="39">
        <v>0.06</v>
      </c>
      <c r="E20" s="39">
        <v>0.87</v>
      </c>
      <c r="F20" s="39">
        <v>0.34</v>
      </c>
      <c r="G20" s="39">
        <v>0.26</v>
      </c>
      <c r="H20" s="39"/>
      <c r="I20" s="30"/>
    </row>
    <row r="21" spans="1:9" x14ac:dyDescent="0.3">
      <c r="B21" s="23">
        <v>1980</v>
      </c>
      <c r="C21" s="39">
        <f>173604/C33/10</f>
        <v>0.18531423440880043</v>
      </c>
      <c r="D21" s="39">
        <v>0.12</v>
      </c>
      <c r="E21" s="39"/>
      <c r="F21" s="39">
        <f>99098/F33/10</f>
        <v>0.4175503976858056</v>
      </c>
      <c r="G21" s="39"/>
      <c r="H21" s="39">
        <f>51322/502808.87</f>
        <v>0.10207059394159057</v>
      </c>
      <c r="I21" s="30"/>
    </row>
    <row r="23" spans="1:9" x14ac:dyDescent="0.3">
      <c r="A23" s="28" t="s">
        <v>42</v>
      </c>
      <c r="B23" s="18">
        <v>2012</v>
      </c>
      <c r="C23" s="26">
        <v>89</v>
      </c>
      <c r="D23" s="26">
        <v>60</v>
      </c>
      <c r="E23" s="26">
        <v>4</v>
      </c>
      <c r="F23" s="26">
        <v>25</v>
      </c>
      <c r="G23" s="22"/>
      <c r="H23" s="38"/>
      <c r="I23" s="30"/>
    </row>
    <row r="24" spans="1:9" x14ac:dyDescent="0.3">
      <c r="B24" s="18">
        <v>2007</v>
      </c>
      <c r="C24" s="26">
        <v>94</v>
      </c>
      <c r="D24" s="26">
        <v>60</v>
      </c>
      <c r="E24" s="26">
        <v>9</v>
      </c>
      <c r="F24" s="26">
        <v>25</v>
      </c>
      <c r="I24" s="30"/>
    </row>
    <row r="25" spans="1:9" x14ac:dyDescent="0.3">
      <c r="B25" s="18">
        <v>2002</v>
      </c>
      <c r="C25" s="26">
        <v>80</v>
      </c>
      <c r="D25" s="26">
        <v>50</v>
      </c>
      <c r="E25" s="26">
        <v>4</v>
      </c>
      <c r="F25" s="26">
        <v>16</v>
      </c>
      <c r="G25" s="17">
        <v>10</v>
      </c>
    </row>
    <row r="26" spans="1:9" x14ac:dyDescent="0.3">
      <c r="B26" s="18">
        <v>1997</v>
      </c>
      <c r="C26" s="26">
        <v>88</v>
      </c>
      <c r="D26" s="26">
        <v>45</v>
      </c>
      <c r="E26" s="26">
        <v>9</v>
      </c>
      <c r="F26" s="26">
        <v>20</v>
      </c>
      <c r="G26" s="17">
        <v>14</v>
      </c>
      <c r="I26" s="30"/>
    </row>
    <row r="27" spans="1:9" x14ac:dyDescent="0.3">
      <c r="B27" s="23">
        <v>1980</v>
      </c>
      <c r="C27" s="26">
        <v>291</v>
      </c>
      <c r="D27" s="26">
        <v>148</v>
      </c>
      <c r="E27" s="26"/>
      <c r="F27" s="26">
        <v>110</v>
      </c>
      <c r="H27" s="17">
        <v>33</v>
      </c>
      <c r="I27" s="30"/>
    </row>
    <row r="28" spans="1:9" x14ac:dyDescent="0.3">
      <c r="A28" s="16"/>
      <c r="C28" s="126" t="s">
        <v>40</v>
      </c>
      <c r="D28" s="127"/>
      <c r="E28" s="127"/>
      <c r="F28" s="127"/>
      <c r="G28" s="127"/>
      <c r="H28" s="127"/>
      <c r="I28" s="30"/>
    </row>
    <row r="29" spans="1:9" x14ac:dyDescent="0.3">
      <c r="A29" s="21" t="s">
        <v>50</v>
      </c>
      <c r="B29" s="18">
        <v>2012</v>
      </c>
      <c r="C29" s="26">
        <v>160005</v>
      </c>
      <c r="D29" s="26">
        <v>16483</v>
      </c>
      <c r="E29" s="26">
        <v>261</v>
      </c>
      <c r="F29" s="26">
        <v>143261</v>
      </c>
      <c r="G29" s="26"/>
      <c r="H29" s="38"/>
      <c r="I29" s="30"/>
    </row>
    <row r="30" spans="1:9" x14ac:dyDescent="0.3">
      <c r="A30" s="28"/>
      <c r="B30" s="18">
        <v>2007</v>
      </c>
      <c r="C30" s="26">
        <v>163683</v>
      </c>
      <c r="D30" s="26">
        <v>30507</v>
      </c>
      <c r="E30" s="26">
        <v>1039</v>
      </c>
      <c r="F30" s="26">
        <v>132137</v>
      </c>
      <c r="G30" s="26"/>
      <c r="H30" s="26"/>
      <c r="I30" s="30"/>
    </row>
    <row r="31" spans="1:9" x14ac:dyDescent="0.3">
      <c r="B31" s="23">
        <v>2002</v>
      </c>
      <c r="C31" s="27">
        <v>154806</v>
      </c>
      <c r="D31" s="27">
        <v>33856</v>
      </c>
      <c r="E31" s="27">
        <v>344</v>
      </c>
      <c r="F31" s="27">
        <v>106748</v>
      </c>
      <c r="G31" s="26">
        <v>13857</v>
      </c>
      <c r="H31" s="26"/>
      <c r="I31" s="30"/>
    </row>
    <row r="32" spans="1:9" x14ac:dyDescent="0.3">
      <c r="B32" s="23">
        <v>1997</v>
      </c>
      <c r="C32" s="27">
        <v>121157</v>
      </c>
      <c r="D32" s="27">
        <v>21443</v>
      </c>
      <c r="E32" s="27">
        <v>1420</v>
      </c>
      <c r="F32" s="27">
        <v>75495</v>
      </c>
      <c r="G32" s="26">
        <v>22799</v>
      </c>
      <c r="H32" s="26"/>
    </row>
    <row r="33" spans="1:8" x14ac:dyDescent="0.3">
      <c r="A33" s="31"/>
      <c r="B33" s="19">
        <v>1980</v>
      </c>
      <c r="C33" s="32">
        <v>93680.876999999993</v>
      </c>
      <c r="D33" s="32">
        <f>6547+13120</f>
        <v>19667</v>
      </c>
      <c r="E33" s="32"/>
      <c r="F33" s="32">
        <v>23733.183000000001</v>
      </c>
      <c r="G33" s="32"/>
      <c r="H33" s="32">
        <v>50281</v>
      </c>
    </row>
    <row r="34" spans="1:8" x14ac:dyDescent="0.3">
      <c r="A34" s="36"/>
    </row>
    <row r="35" spans="1:8" x14ac:dyDescent="0.3">
      <c r="A35" s="40"/>
    </row>
    <row r="36" spans="1:8" x14ac:dyDescent="0.3">
      <c r="A36" s="40"/>
    </row>
    <row r="37" spans="1:8" x14ac:dyDescent="0.3">
      <c r="A37" s="41"/>
    </row>
  </sheetData>
  <mergeCells count="3">
    <mergeCell ref="D2:H2"/>
    <mergeCell ref="C4:H4"/>
    <mergeCell ref="C28:H28"/>
  </mergeCells>
  <pageMargins left="0.7" right="0.7" top="0.75" bottom="0.75" header="0.3" footer="0.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sqref="A1:XFD1048576"/>
    </sheetView>
  </sheetViews>
  <sheetFormatPr defaultRowHeight="14.4" x14ac:dyDescent="0.3"/>
  <cols>
    <col min="1" max="1" width="41" style="17" customWidth="1"/>
    <col min="2" max="4" width="17" style="26" customWidth="1"/>
    <col min="5" max="5" width="17" style="17" customWidth="1"/>
    <col min="6" max="6" width="14.33203125" style="17" bestFit="1" customWidth="1"/>
    <col min="7" max="256" width="9.109375" style="17"/>
    <col min="257" max="257" width="41" style="17" customWidth="1"/>
    <col min="258" max="261" width="17" style="17" customWidth="1"/>
    <col min="262" max="262" width="14.33203125" style="17" bestFit="1" customWidth="1"/>
    <col min="263" max="512" width="9.109375" style="17"/>
    <col min="513" max="513" width="41" style="17" customWidth="1"/>
    <col min="514" max="517" width="17" style="17" customWidth="1"/>
    <col min="518" max="518" width="14.33203125" style="17" bestFit="1" customWidth="1"/>
    <col min="519" max="768" width="9.109375" style="17"/>
    <col min="769" max="769" width="41" style="17" customWidth="1"/>
    <col min="770" max="773" width="17" style="17" customWidth="1"/>
    <col min="774" max="774" width="14.33203125" style="17" bestFit="1" customWidth="1"/>
    <col min="775" max="1024" width="9.109375" style="17"/>
    <col min="1025" max="1025" width="41" style="17" customWidth="1"/>
    <col min="1026" max="1029" width="17" style="17" customWidth="1"/>
    <col min="1030" max="1030" width="14.33203125" style="17" bestFit="1" customWidth="1"/>
    <col min="1031" max="1280" width="9.109375" style="17"/>
    <col min="1281" max="1281" width="41" style="17" customWidth="1"/>
    <col min="1282" max="1285" width="17" style="17" customWidth="1"/>
    <col min="1286" max="1286" width="14.33203125" style="17" bestFit="1" customWidth="1"/>
    <col min="1287" max="1536" width="9.109375" style="17"/>
    <col min="1537" max="1537" width="41" style="17" customWidth="1"/>
    <col min="1538" max="1541" width="17" style="17" customWidth="1"/>
    <col min="1542" max="1542" width="14.33203125" style="17" bestFit="1" customWidth="1"/>
    <col min="1543" max="1792" width="9.109375" style="17"/>
    <col min="1793" max="1793" width="41" style="17" customWidth="1"/>
    <col min="1794" max="1797" width="17" style="17" customWidth="1"/>
    <col min="1798" max="1798" width="14.33203125" style="17" bestFit="1" customWidth="1"/>
    <col min="1799" max="2048" width="9.109375" style="17"/>
    <col min="2049" max="2049" width="41" style="17" customWidth="1"/>
    <col min="2050" max="2053" width="17" style="17" customWidth="1"/>
    <col min="2054" max="2054" width="14.33203125" style="17" bestFit="1" customWidth="1"/>
    <col min="2055" max="2304" width="9.109375" style="17"/>
    <col min="2305" max="2305" width="41" style="17" customWidth="1"/>
    <col min="2306" max="2309" width="17" style="17" customWidth="1"/>
    <col min="2310" max="2310" width="14.33203125" style="17" bestFit="1" customWidth="1"/>
    <col min="2311" max="2560" width="9.109375" style="17"/>
    <col min="2561" max="2561" width="41" style="17" customWidth="1"/>
    <col min="2562" max="2565" width="17" style="17" customWidth="1"/>
    <col min="2566" max="2566" width="14.33203125" style="17" bestFit="1" customWidth="1"/>
    <col min="2567" max="2816" width="9.109375" style="17"/>
    <col min="2817" max="2817" width="41" style="17" customWidth="1"/>
    <col min="2818" max="2821" width="17" style="17" customWidth="1"/>
    <col min="2822" max="2822" width="14.33203125" style="17" bestFit="1" customWidth="1"/>
    <col min="2823" max="3072" width="9.109375" style="17"/>
    <col min="3073" max="3073" width="41" style="17" customWidth="1"/>
    <col min="3074" max="3077" width="17" style="17" customWidth="1"/>
    <col min="3078" max="3078" width="14.33203125" style="17" bestFit="1" customWidth="1"/>
    <col min="3079" max="3328" width="9.109375" style="17"/>
    <col min="3329" max="3329" width="41" style="17" customWidth="1"/>
    <col min="3330" max="3333" width="17" style="17" customWidth="1"/>
    <col min="3334" max="3334" width="14.33203125" style="17" bestFit="1" customWidth="1"/>
    <col min="3335" max="3584" width="9.109375" style="17"/>
    <col min="3585" max="3585" width="41" style="17" customWidth="1"/>
    <col min="3586" max="3589" width="17" style="17" customWidth="1"/>
    <col min="3590" max="3590" width="14.33203125" style="17" bestFit="1" customWidth="1"/>
    <col min="3591" max="3840" width="9.109375" style="17"/>
    <col min="3841" max="3841" width="41" style="17" customWidth="1"/>
    <col min="3842" max="3845" width="17" style="17" customWidth="1"/>
    <col min="3846" max="3846" width="14.33203125" style="17" bestFit="1" customWidth="1"/>
    <col min="3847" max="4096" width="9.109375" style="17"/>
    <col min="4097" max="4097" width="41" style="17" customWidth="1"/>
    <col min="4098" max="4101" width="17" style="17" customWidth="1"/>
    <col min="4102" max="4102" width="14.33203125" style="17" bestFit="1" customWidth="1"/>
    <col min="4103" max="4352" width="9.109375" style="17"/>
    <col min="4353" max="4353" width="41" style="17" customWidth="1"/>
    <col min="4354" max="4357" width="17" style="17" customWidth="1"/>
    <col min="4358" max="4358" width="14.33203125" style="17" bestFit="1" customWidth="1"/>
    <col min="4359" max="4608" width="9.109375" style="17"/>
    <col min="4609" max="4609" width="41" style="17" customWidth="1"/>
    <col min="4610" max="4613" width="17" style="17" customWidth="1"/>
    <col min="4614" max="4614" width="14.33203125" style="17" bestFit="1" customWidth="1"/>
    <col min="4615" max="4864" width="9.109375" style="17"/>
    <col min="4865" max="4865" width="41" style="17" customWidth="1"/>
    <col min="4866" max="4869" width="17" style="17" customWidth="1"/>
    <col min="4870" max="4870" width="14.33203125" style="17" bestFit="1" customWidth="1"/>
    <col min="4871" max="5120" width="9.109375" style="17"/>
    <col min="5121" max="5121" width="41" style="17" customWidth="1"/>
    <col min="5122" max="5125" width="17" style="17" customWidth="1"/>
    <col min="5126" max="5126" width="14.33203125" style="17" bestFit="1" customWidth="1"/>
    <col min="5127" max="5376" width="9.109375" style="17"/>
    <col min="5377" max="5377" width="41" style="17" customWidth="1"/>
    <col min="5378" max="5381" width="17" style="17" customWidth="1"/>
    <col min="5382" max="5382" width="14.33203125" style="17" bestFit="1" customWidth="1"/>
    <col min="5383" max="5632" width="9.109375" style="17"/>
    <col min="5633" max="5633" width="41" style="17" customWidth="1"/>
    <col min="5634" max="5637" width="17" style="17" customWidth="1"/>
    <col min="5638" max="5638" width="14.33203125" style="17" bestFit="1" customWidth="1"/>
    <col min="5639" max="5888" width="9.109375" style="17"/>
    <col min="5889" max="5889" width="41" style="17" customWidth="1"/>
    <col min="5890" max="5893" width="17" style="17" customWidth="1"/>
    <col min="5894" max="5894" width="14.33203125" style="17" bestFit="1" customWidth="1"/>
    <col min="5895" max="6144" width="9.109375" style="17"/>
    <col min="6145" max="6145" width="41" style="17" customWidth="1"/>
    <col min="6146" max="6149" width="17" style="17" customWidth="1"/>
    <col min="6150" max="6150" width="14.33203125" style="17" bestFit="1" customWidth="1"/>
    <col min="6151" max="6400" width="9.109375" style="17"/>
    <col min="6401" max="6401" width="41" style="17" customWidth="1"/>
    <col min="6402" max="6405" width="17" style="17" customWidth="1"/>
    <col min="6406" max="6406" width="14.33203125" style="17" bestFit="1" customWidth="1"/>
    <col min="6407" max="6656" width="9.109375" style="17"/>
    <col min="6657" max="6657" width="41" style="17" customWidth="1"/>
    <col min="6658" max="6661" width="17" style="17" customWidth="1"/>
    <col min="6662" max="6662" width="14.33203125" style="17" bestFit="1" customWidth="1"/>
    <col min="6663" max="6912" width="9.109375" style="17"/>
    <col min="6913" max="6913" width="41" style="17" customWidth="1"/>
    <col min="6914" max="6917" width="17" style="17" customWidth="1"/>
    <col min="6918" max="6918" width="14.33203125" style="17" bestFit="1" customWidth="1"/>
    <col min="6919" max="7168" width="9.109375" style="17"/>
    <col min="7169" max="7169" width="41" style="17" customWidth="1"/>
    <col min="7170" max="7173" width="17" style="17" customWidth="1"/>
    <col min="7174" max="7174" width="14.33203125" style="17" bestFit="1" customWidth="1"/>
    <col min="7175" max="7424" width="9.109375" style="17"/>
    <col min="7425" max="7425" width="41" style="17" customWidth="1"/>
    <col min="7426" max="7429" width="17" style="17" customWidth="1"/>
    <col min="7430" max="7430" width="14.33203125" style="17" bestFit="1" customWidth="1"/>
    <col min="7431" max="7680" width="9.109375" style="17"/>
    <col min="7681" max="7681" width="41" style="17" customWidth="1"/>
    <col min="7682" max="7685" width="17" style="17" customWidth="1"/>
    <col min="7686" max="7686" width="14.33203125" style="17" bestFit="1" customWidth="1"/>
    <col min="7687" max="7936" width="9.109375" style="17"/>
    <col min="7937" max="7937" width="41" style="17" customWidth="1"/>
    <col min="7938" max="7941" width="17" style="17" customWidth="1"/>
    <col min="7942" max="7942" width="14.33203125" style="17" bestFit="1" customWidth="1"/>
    <col min="7943" max="8192" width="9.109375" style="17"/>
    <col min="8193" max="8193" width="41" style="17" customWidth="1"/>
    <col min="8194" max="8197" width="17" style="17" customWidth="1"/>
    <col min="8198" max="8198" width="14.33203125" style="17" bestFit="1" customWidth="1"/>
    <col min="8199" max="8448" width="9.109375" style="17"/>
    <col min="8449" max="8449" width="41" style="17" customWidth="1"/>
    <col min="8450" max="8453" width="17" style="17" customWidth="1"/>
    <col min="8454" max="8454" width="14.33203125" style="17" bestFit="1" customWidth="1"/>
    <col min="8455" max="8704" width="9.109375" style="17"/>
    <col min="8705" max="8705" width="41" style="17" customWidth="1"/>
    <col min="8706" max="8709" width="17" style="17" customWidth="1"/>
    <col min="8710" max="8710" width="14.33203125" style="17" bestFit="1" customWidth="1"/>
    <col min="8711" max="8960" width="9.109375" style="17"/>
    <col min="8961" max="8961" width="41" style="17" customWidth="1"/>
    <col min="8962" max="8965" width="17" style="17" customWidth="1"/>
    <col min="8966" max="8966" width="14.33203125" style="17" bestFit="1" customWidth="1"/>
    <col min="8967" max="9216" width="9.109375" style="17"/>
    <col min="9217" max="9217" width="41" style="17" customWidth="1"/>
    <col min="9218" max="9221" width="17" style="17" customWidth="1"/>
    <col min="9222" max="9222" width="14.33203125" style="17" bestFit="1" customWidth="1"/>
    <col min="9223" max="9472" width="9.109375" style="17"/>
    <col min="9473" max="9473" width="41" style="17" customWidth="1"/>
    <col min="9474" max="9477" width="17" style="17" customWidth="1"/>
    <col min="9478" max="9478" width="14.33203125" style="17" bestFit="1" customWidth="1"/>
    <col min="9479" max="9728" width="9.109375" style="17"/>
    <col min="9729" max="9729" width="41" style="17" customWidth="1"/>
    <col min="9730" max="9733" width="17" style="17" customWidth="1"/>
    <col min="9734" max="9734" width="14.33203125" style="17" bestFit="1" customWidth="1"/>
    <col min="9735" max="9984" width="9.109375" style="17"/>
    <col min="9985" max="9985" width="41" style="17" customWidth="1"/>
    <col min="9986" max="9989" width="17" style="17" customWidth="1"/>
    <col min="9990" max="9990" width="14.33203125" style="17" bestFit="1" customWidth="1"/>
    <col min="9991" max="10240" width="9.109375" style="17"/>
    <col min="10241" max="10241" width="41" style="17" customWidth="1"/>
    <col min="10242" max="10245" width="17" style="17" customWidth="1"/>
    <col min="10246" max="10246" width="14.33203125" style="17" bestFit="1" customWidth="1"/>
    <col min="10247" max="10496" width="9.109375" style="17"/>
    <col min="10497" max="10497" width="41" style="17" customWidth="1"/>
    <col min="10498" max="10501" width="17" style="17" customWidth="1"/>
    <col min="10502" max="10502" width="14.33203125" style="17" bestFit="1" customWidth="1"/>
    <col min="10503" max="10752" width="9.109375" style="17"/>
    <col min="10753" max="10753" width="41" style="17" customWidth="1"/>
    <col min="10754" max="10757" width="17" style="17" customWidth="1"/>
    <col min="10758" max="10758" width="14.33203125" style="17" bestFit="1" customWidth="1"/>
    <col min="10759" max="11008" width="9.109375" style="17"/>
    <col min="11009" max="11009" width="41" style="17" customWidth="1"/>
    <col min="11010" max="11013" width="17" style="17" customWidth="1"/>
    <col min="11014" max="11014" width="14.33203125" style="17" bestFit="1" customWidth="1"/>
    <col min="11015" max="11264" width="9.109375" style="17"/>
    <col min="11265" max="11265" width="41" style="17" customWidth="1"/>
    <col min="11266" max="11269" width="17" style="17" customWidth="1"/>
    <col min="11270" max="11270" width="14.33203125" style="17" bestFit="1" customWidth="1"/>
    <col min="11271" max="11520" width="9.109375" style="17"/>
    <col min="11521" max="11521" width="41" style="17" customWidth="1"/>
    <col min="11522" max="11525" width="17" style="17" customWidth="1"/>
    <col min="11526" max="11526" width="14.33203125" style="17" bestFit="1" customWidth="1"/>
    <col min="11527" max="11776" width="9.109375" style="17"/>
    <col min="11777" max="11777" width="41" style="17" customWidth="1"/>
    <col min="11778" max="11781" width="17" style="17" customWidth="1"/>
    <col min="11782" max="11782" width="14.33203125" style="17" bestFit="1" customWidth="1"/>
    <col min="11783" max="12032" width="9.109375" style="17"/>
    <col min="12033" max="12033" width="41" style="17" customWidth="1"/>
    <col min="12034" max="12037" width="17" style="17" customWidth="1"/>
    <col min="12038" max="12038" width="14.33203125" style="17" bestFit="1" customWidth="1"/>
    <col min="12039" max="12288" width="9.109375" style="17"/>
    <col min="12289" max="12289" width="41" style="17" customWidth="1"/>
    <col min="12290" max="12293" width="17" style="17" customWidth="1"/>
    <col min="12294" max="12294" width="14.33203125" style="17" bestFit="1" customWidth="1"/>
    <col min="12295" max="12544" width="9.109375" style="17"/>
    <col min="12545" max="12545" width="41" style="17" customWidth="1"/>
    <col min="12546" max="12549" width="17" style="17" customWidth="1"/>
    <col min="12550" max="12550" width="14.33203125" style="17" bestFit="1" customWidth="1"/>
    <col min="12551" max="12800" width="9.109375" style="17"/>
    <col min="12801" max="12801" width="41" style="17" customWidth="1"/>
    <col min="12802" max="12805" width="17" style="17" customWidth="1"/>
    <col min="12806" max="12806" width="14.33203125" style="17" bestFit="1" customWidth="1"/>
    <col min="12807" max="13056" width="9.109375" style="17"/>
    <col min="13057" max="13057" width="41" style="17" customWidth="1"/>
    <col min="13058" max="13061" width="17" style="17" customWidth="1"/>
    <col min="13062" max="13062" width="14.33203125" style="17" bestFit="1" customWidth="1"/>
    <col min="13063" max="13312" width="9.109375" style="17"/>
    <col min="13313" max="13313" width="41" style="17" customWidth="1"/>
    <col min="13314" max="13317" width="17" style="17" customWidth="1"/>
    <col min="13318" max="13318" width="14.33203125" style="17" bestFit="1" customWidth="1"/>
    <col min="13319" max="13568" width="9.109375" style="17"/>
    <col min="13569" max="13569" width="41" style="17" customWidth="1"/>
    <col min="13570" max="13573" width="17" style="17" customWidth="1"/>
    <col min="13574" max="13574" width="14.33203125" style="17" bestFit="1" customWidth="1"/>
    <col min="13575" max="13824" width="9.109375" style="17"/>
    <col min="13825" max="13825" width="41" style="17" customWidth="1"/>
    <col min="13826" max="13829" width="17" style="17" customWidth="1"/>
    <col min="13830" max="13830" width="14.33203125" style="17" bestFit="1" customWidth="1"/>
    <col min="13831" max="14080" width="9.109375" style="17"/>
    <col min="14081" max="14081" width="41" style="17" customWidth="1"/>
    <col min="14082" max="14085" width="17" style="17" customWidth="1"/>
    <col min="14086" max="14086" width="14.33203125" style="17" bestFit="1" customWidth="1"/>
    <col min="14087" max="14336" width="9.109375" style="17"/>
    <col min="14337" max="14337" width="41" style="17" customWidth="1"/>
    <col min="14338" max="14341" width="17" style="17" customWidth="1"/>
    <col min="14342" max="14342" width="14.33203125" style="17" bestFit="1" customWidth="1"/>
    <col min="14343" max="14592" width="9.109375" style="17"/>
    <col min="14593" max="14593" width="41" style="17" customWidth="1"/>
    <col min="14594" max="14597" width="17" style="17" customWidth="1"/>
    <col min="14598" max="14598" width="14.33203125" style="17" bestFit="1" customWidth="1"/>
    <col min="14599" max="14848" width="9.109375" style="17"/>
    <col min="14849" max="14849" width="41" style="17" customWidth="1"/>
    <col min="14850" max="14853" width="17" style="17" customWidth="1"/>
    <col min="14854" max="14854" width="14.33203125" style="17" bestFit="1" customWidth="1"/>
    <col min="14855" max="15104" width="9.109375" style="17"/>
    <col min="15105" max="15105" width="41" style="17" customWidth="1"/>
    <col min="15106" max="15109" width="17" style="17" customWidth="1"/>
    <col min="15110" max="15110" width="14.33203125" style="17" bestFit="1" customWidth="1"/>
    <col min="15111" max="15360" width="9.109375" style="17"/>
    <col min="15361" max="15361" width="41" style="17" customWidth="1"/>
    <col min="15362" max="15365" width="17" style="17" customWidth="1"/>
    <col min="15366" max="15366" width="14.33203125" style="17" bestFit="1" customWidth="1"/>
    <col min="15367" max="15616" width="9.109375" style="17"/>
    <col min="15617" max="15617" width="41" style="17" customWidth="1"/>
    <col min="15618" max="15621" width="17" style="17" customWidth="1"/>
    <col min="15622" max="15622" width="14.33203125" style="17" bestFit="1" customWidth="1"/>
    <col min="15623" max="15872" width="9.109375" style="17"/>
    <col min="15873" max="15873" width="41" style="17" customWidth="1"/>
    <col min="15874" max="15877" width="17" style="17" customWidth="1"/>
    <col min="15878" max="15878" width="14.33203125" style="17" bestFit="1" customWidth="1"/>
    <col min="15879" max="16128" width="9.109375" style="17"/>
    <col min="16129" max="16129" width="41" style="17" customWidth="1"/>
    <col min="16130" max="16133" width="17" style="17" customWidth="1"/>
    <col min="16134" max="16134" width="14.33203125" style="17" bestFit="1" customWidth="1"/>
    <col min="16135" max="16384" width="9.109375" style="17"/>
  </cols>
  <sheetData>
    <row r="1" spans="1:6" ht="26.25" customHeight="1" thickBot="1" x14ac:dyDescent="0.35">
      <c r="A1" s="42" t="s">
        <v>19</v>
      </c>
      <c r="B1" s="43"/>
      <c r="C1" s="42"/>
      <c r="D1" s="42"/>
      <c r="E1" s="42"/>
      <c r="F1" s="44"/>
    </row>
    <row r="2" spans="1:6" ht="23.25" customHeight="1" x14ac:dyDescent="0.3">
      <c r="A2" s="45"/>
      <c r="B2" s="46">
        <v>1980</v>
      </c>
      <c r="C2" s="46">
        <v>1997</v>
      </c>
      <c r="D2" s="46">
        <v>2002</v>
      </c>
      <c r="E2" s="46">
        <v>2007</v>
      </c>
      <c r="F2" s="46">
        <v>2012</v>
      </c>
    </row>
    <row r="3" spans="1:6" ht="15.6" x14ac:dyDescent="0.3">
      <c r="A3" s="44"/>
      <c r="B3" s="131" t="s">
        <v>51</v>
      </c>
      <c r="C3" s="132"/>
      <c r="D3" s="132"/>
      <c r="E3" s="132"/>
      <c r="F3" s="44"/>
    </row>
    <row r="4" spans="1:6" ht="15.6" x14ac:dyDescent="0.3">
      <c r="A4" s="47" t="s">
        <v>52</v>
      </c>
      <c r="B4" s="48"/>
      <c r="C4" s="49"/>
      <c r="D4" s="49"/>
      <c r="E4" s="50"/>
      <c r="F4" s="51"/>
    </row>
    <row r="5" spans="1:6" ht="15.6" x14ac:dyDescent="0.3">
      <c r="A5" s="51" t="s">
        <v>53</v>
      </c>
      <c r="B5" s="49">
        <v>1589900</v>
      </c>
      <c r="C5" s="49">
        <v>3245673</v>
      </c>
      <c r="D5" s="49">
        <v>3778832</v>
      </c>
      <c r="E5" s="52">
        <v>7258423</v>
      </c>
      <c r="F5" s="52">
        <v>8623306</v>
      </c>
    </row>
    <row r="6" spans="1:6" ht="18" customHeight="1" x14ac:dyDescent="0.3">
      <c r="A6" s="53" t="s">
        <v>126</v>
      </c>
      <c r="B6" s="49">
        <f>634385+286129</f>
        <v>920514</v>
      </c>
      <c r="C6" s="49">
        <f>1509557+C8</f>
        <v>2012928</v>
      </c>
      <c r="D6" s="49">
        <v>3903003</v>
      </c>
      <c r="E6" s="52">
        <f>4609394+935</f>
        <v>4610329</v>
      </c>
      <c r="F6" s="52">
        <v>4371161</v>
      </c>
    </row>
    <row r="7" spans="1:6" ht="17.399999999999999" x14ac:dyDescent="0.45">
      <c r="A7" s="51" t="s">
        <v>54</v>
      </c>
      <c r="B7" s="54" t="s">
        <v>55</v>
      </c>
      <c r="C7" s="54">
        <v>636507</v>
      </c>
      <c r="D7" s="54">
        <v>683622</v>
      </c>
      <c r="E7" s="55">
        <v>152067</v>
      </c>
      <c r="F7" s="55">
        <v>945765</v>
      </c>
    </row>
    <row r="8" spans="1:6" ht="16.2" hidden="1" thickBot="1" x14ac:dyDescent="0.35">
      <c r="A8" s="51" t="s">
        <v>56</v>
      </c>
      <c r="B8" s="49"/>
      <c r="C8" s="49">
        <v>503371</v>
      </c>
      <c r="D8" s="56" t="s">
        <v>57</v>
      </c>
      <c r="E8" s="50"/>
      <c r="F8" s="50">
        <v>13940231.984820003</v>
      </c>
    </row>
    <row r="9" spans="1:6" ht="17.399999999999999" x14ac:dyDescent="0.45">
      <c r="A9" s="51" t="s">
        <v>58</v>
      </c>
      <c r="B9" s="57">
        <f>SUM(B5:B8)</f>
        <v>2510414</v>
      </c>
      <c r="C9" s="57">
        <v>5895107</v>
      </c>
      <c r="D9" s="57">
        <f>SUM(D4:D7)</f>
        <v>8365457</v>
      </c>
      <c r="E9" s="58">
        <f>SUM(E4:E7)</f>
        <v>12020819</v>
      </c>
      <c r="F9" s="58">
        <v>13940232</v>
      </c>
    </row>
    <row r="10" spans="1:6" ht="27" customHeight="1" x14ac:dyDescent="0.3">
      <c r="A10" s="51" t="s">
        <v>59</v>
      </c>
      <c r="B10" s="49">
        <v>1273342</v>
      </c>
      <c r="C10" s="49">
        <v>2536557</v>
      </c>
      <c r="D10" s="49">
        <v>3210600</v>
      </c>
      <c r="E10" s="59">
        <v>6290839</v>
      </c>
      <c r="F10" s="59">
        <v>6883583</v>
      </c>
    </row>
    <row r="11" spans="1:6" ht="17.399999999999999" x14ac:dyDescent="0.45">
      <c r="A11" s="51" t="s">
        <v>60</v>
      </c>
      <c r="B11" s="54">
        <v>381383</v>
      </c>
      <c r="C11" s="54">
        <v>1029960</v>
      </c>
      <c r="D11" s="54">
        <v>2335951</v>
      </c>
      <c r="E11" s="55">
        <f>2409129+677</f>
        <v>2409806</v>
      </c>
      <c r="F11" s="55">
        <v>3499336</v>
      </c>
    </row>
    <row r="12" spans="1:6" ht="15.6" x14ac:dyDescent="0.3">
      <c r="A12" s="51" t="s">
        <v>61</v>
      </c>
      <c r="B12" s="49">
        <f>SUM(B10:B11)</f>
        <v>1654725</v>
      </c>
      <c r="C12" s="49">
        <f>C11+C10</f>
        <v>3566517</v>
      </c>
      <c r="D12" s="49">
        <f>SUM(D10:D11)</f>
        <v>5546551</v>
      </c>
      <c r="E12" s="59">
        <f>SUM(E10:E11)</f>
        <v>8700645</v>
      </c>
      <c r="F12" s="59">
        <v>10382920</v>
      </c>
    </row>
    <row r="13" spans="1:6" ht="25.5" customHeight="1" x14ac:dyDescent="0.45">
      <c r="A13" s="51" t="s">
        <v>62</v>
      </c>
      <c r="B13" s="54">
        <v>855689</v>
      </c>
      <c r="C13" s="54">
        <v>2328590</v>
      </c>
      <c r="D13" s="54">
        <v>2818906</v>
      </c>
      <c r="E13" s="54">
        <v>3320174</v>
      </c>
      <c r="F13" s="54">
        <v>3557312</v>
      </c>
    </row>
    <row r="14" spans="1:6" ht="27" customHeight="1" x14ac:dyDescent="0.45">
      <c r="A14" s="51" t="s">
        <v>63</v>
      </c>
      <c r="B14" s="57">
        <f>B13+B12</f>
        <v>2510414</v>
      </c>
      <c r="C14" s="57">
        <v>5895107</v>
      </c>
      <c r="D14" s="57">
        <f>D13+D12</f>
        <v>8365457</v>
      </c>
      <c r="E14" s="57">
        <f>E13+E12</f>
        <v>12020819</v>
      </c>
      <c r="F14" s="57">
        <v>13940232</v>
      </c>
    </row>
    <row r="15" spans="1:6" ht="31.5" customHeight="1" x14ac:dyDescent="0.3">
      <c r="A15" s="47" t="s">
        <v>64</v>
      </c>
      <c r="B15" s="48"/>
      <c r="C15" s="49"/>
      <c r="D15" s="49"/>
      <c r="E15" s="50"/>
      <c r="F15" s="51"/>
    </row>
    <row r="16" spans="1:6" ht="15.6" x14ac:dyDescent="0.3">
      <c r="A16" s="51" t="s">
        <v>65</v>
      </c>
      <c r="B16" s="49">
        <v>14401170</v>
      </c>
      <c r="C16" s="49">
        <v>22718900</v>
      </c>
      <c r="D16" s="49">
        <v>24358409</v>
      </c>
      <c r="E16" s="52">
        <v>38765715</v>
      </c>
      <c r="F16" s="52">
        <v>37912890</v>
      </c>
    </row>
    <row r="17" spans="1:6" ht="15.6" x14ac:dyDescent="0.3">
      <c r="A17" s="51" t="s">
        <v>66</v>
      </c>
      <c r="B17" s="49">
        <v>266815</v>
      </c>
      <c r="C17" s="49">
        <f>2026800+689400</f>
        <v>2716200</v>
      </c>
      <c r="D17" s="49">
        <f>D20-(D16+D18+D19)</f>
        <v>3397319</v>
      </c>
      <c r="E17" s="52">
        <v>5128272</v>
      </c>
      <c r="F17" s="52">
        <v>10684699</v>
      </c>
    </row>
    <row r="18" spans="1:6" ht="15.6" x14ac:dyDescent="0.3">
      <c r="A18" s="44" t="s">
        <v>67</v>
      </c>
      <c r="B18" s="60">
        <f>163588</f>
        <v>163588</v>
      </c>
      <c r="C18" s="60">
        <v>232700</v>
      </c>
      <c r="D18" s="60">
        <v>475269</v>
      </c>
      <c r="E18" s="61">
        <f>318880+15733</f>
        <v>334613</v>
      </c>
      <c r="F18" s="61">
        <v>299017</v>
      </c>
    </row>
    <row r="19" spans="1:6" ht="17.399999999999999" x14ac:dyDescent="0.45">
      <c r="A19" s="44" t="s">
        <v>68</v>
      </c>
      <c r="B19" s="62" t="s">
        <v>55</v>
      </c>
      <c r="C19" s="62">
        <v>74200</v>
      </c>
      <c r="D19" s="62">
        <v>53881</v>
      </c>
      <c r="E19" s="63">
        <f>8377</f>
        <v>8377</v>
      </c>
      <c r="F19" s="63">
        <v>7605</v>
      </c>
    </row>
    <row r="20" spans="1:6" ht="27" customHeight="1" x14ac:dyDescent="0.3">
      <c r="A20" s="44" t="s">
        <v>69</v>
      </c>
      <c r="B20" s="60">
        <f>SUM(B16:B19)</f>
        <v>14831573</v>
      </c>
      <c r="C20" s="60">
        <v>25741900</v>
      </c>
      <c r="D20" s="60">
        <v>28284878</v>
      </c>
      <c r="E20" s="61">
        <f>SUM(E16:E19)</f>
        <v>44236977</v>
      </c>
      <c r="F20" s="61">
        <v>48904210</v>
      </c>
    </row>
    <row r="21" spans="1:6" ht="32.1" customHeight="1" x14ac:dyDescent="0.45">
      <c r="A21" s="44" t="s">
        <v>70</v>
      </c>
      <c r="B21" s="62">
        <f>13354685+1284676+18608</f>
        <v>14657969</v>
      </c>
      <c r="C21" s="62">
        <v>25398600</v>
      </c>
      <c r="D21" s="62">
        <v>27954774</v>
      </c>
      <c r="E21" s="63">
        <v>43832687</v>
      </c>
      <c r="F21" s="63">
        <v>48606211</v>
      </c>
    </row>
    <row r="22" spans="1:6" ht="30.75" customHeight="1" x14ac:dyDescent="0.45">
      <c r="A22" s="45" t="s">
        <v>71</v>
      </c>
      <c r="B22" s="58">
        <f>B20-B21</f>
        <v>173604</v>
      </c>
      <c r="C22" s="58">
        <v>343300</v>
      </c>
      <c r="D22" s="58">
        <v>330104</v>
      </c>
      <c r="E22" s="58">
        <f>E20-E21</f>
        <v>404290</v>
      </c>
      <c r="F22" s="58">
        <v>297999</v>
      </c>
    </row>
    <row r="23" spans="1:6" ht="16.2" hidden="1" thickBot="1" x14ac:dyDescent="0.35">
      <c r="A23" s="64" t="s">
        <v>72</v>
      </c>
      <c r="B23" s="61"/>
      <c r="C23" s="65">
        <v>307400</v>
      </c>
      <c r="D23" s="66" t="s">
        <v>57</v>
      </c>
      <c r="E23" s="61"/>
      <c r="F23" s="51">
        <v>301477.32675999997</v>
      </c>
    </row>
    <row r="24" spans="1:6" ht="45.75" customHeight="1" x14ac:dyDescent="0.3">
      <c r="A24" s="64" t="s">
        <v>42</v>
      </c>
      <c r="B24" s="65">
        <v>291</v>
      </c>
      <c r="C24" s="65">
        <v>88</v>
      </c>
      <c r="D24" s="65">
        <v>80</v>
      </c>
      <c r="E24" s="64">
        <v>94</v>
      </c>
      <c r="F24" s="64">
        <v>89</v>
      </c>
    </row>
    <row r="25" spans="1:6" ht="31.5" customHeight="1" x14ac:dyDescent="0.3">
      <c r="A25" s="67"/>
      <c r="B25" s="68"/>
      <c r="C25" s="60"/>
      <c r="D25" s="60"/>
      <c r="E25" s="44"/>
      <c r="F25" s="51"/>
    </row>
    <row r="26" spans="1:6" ht="16.2" thickBot="1" x14ac:dyDescent="0.35">
      <c r="A26" s="42" t="s">
        <v>73</v>
      </c>
      <c r="B26" s="43"/>
      <c r="C26" s="42"/>
      <c r="D26" s="42"/>
      <c r="E26" s="42"/>
      <c r="F26" s="51"/>
    </row>
    <row r="27" spans="1:6" ht="15.6" x14ac:dyDescent="0.3">
      <c r="A27" s="45"/>
      <c r="B27" s="46">
        <v>1980</v>
      </c>
      <c r="C27" s="46">
        <v>1997</v>
      </c>
      <c r="D27" s="46">
        <v>2002</v>
      </c>
      <c r="E27" s="46">
        <v>2007</v>
      </c>
      <c r="F27" s="46">
        <v>2012</v>
      </c>
    </row>
    <row r="28" spans="1:6" ht="22.5" customHeight="1" x14ac:dyDescent="0.3">
      <c r="A28" s="69" t="s">
        <v>74</v>
      </c>
      <c r="B28" s="133" t="s">
        <v>75</v>
      </c>
      <c r="C28" s="132"/>
      <c r="D28" s="132"/>
      <c r="E28" s="132"/>
    </row>
    <row r="29" spans="1:6" ht="15.6" x14ac:dyDescent="0.3">
      <c r="A29" s="44" t="s">
        <v>76</v>
      </c>
      <c r="B29" s="70">
        <f>B5/B10</f>
        <v>1.248604067092737</v>
      </c>
      <c r="C29" s="70">
        <f>C5/C10</f>
        <v>1.2795584723702247</v>
      </c>
      <c r="D29" s="70">
        <f>D5/D10</f>
        <v>1.1769862331028469</v>
      </c>
      <c r="E29" s="70">
        <f>E5/E10</f>
        <v>1.153808418877037</v>
      </c>
      <c r="F29" s="70">
        <v>1.25</v>
      </c>
    </row>
    <row r="30" spans="1:6" ht="15.6" x14ac:dyDescent="0.3">
      <c r="A30" s="44" t="s">
        <v>77</v>
      </c>
      <c r="B30" s="70">
        <f>B10/B9</f>
        <v>0.50722390808846674</v>
      </c>
      <c r="C30" s="70">
        <f>C10/C9</f>
        <v>0.43028175739643065</v>
      </c>
      <c r="D30" s="70">
        <f>D10/D9</f>
        <v>0.38379254116063233</v>
      </c>
      <c r="E30" s="70">
        <f>E10/E9</f>
        <v>0.52332865173329701</v>
      </c>
      <c r="F30" s="70">
        <v>0.49</v>
      </c>
    </row>
    <row r="31" spans="1:6" ht="15.6" x14ac:dyDescent="0.3">
      <c r="A31" s="44" t="s">
        <v>78</v>
      </c>
      <c r="B31" s="70">
        <f>B11/B13</f>
        <v>0.44570281959917679</v>
      </c>
      <c r="C31" s="70">
        <f>C11/C13</f>
        <v>0.4423105827990329</v>
      </c>
      <c r="D31" s="70">
        <f>D11/D13</f>
        <v>0.82867289650665898</v>
      </c>
      <c r="E31" s="70">
        <f>E11/E13</f>
        <v>0.725807141432949</v>
      </c>
      <c r="F31" s="70">
        <v>0.98</v>
      </c>
    </row>
    <row r="32" spans="1:6" ht="30" customHeight="1" x14ac:dyDescent="0.3">
      <c r="A32" s="44" t="s">
        <v>79</v>
      </c>
      <c r="B32" s="70">
        <f>B12/B9</f>
        <v>0.65914426863457576</v>
      </c>
      <c r="C32" s="70">
        <f>C12/C9</f>
        <v>0.60499614341181596</v>
      </c>
      <c r="D32" s="70">
        <f>D12/D9</f>
        <v>0.66303024449232117</v>
      </c>
      <c r="E32" s="70">
        <f>E12/E9</f>
        <v>0.72379802075049959</v>
      </c>
      <c r="F32" s="70">
        <v>0.74</v>
      </c>
    </row>
    <row r="33" spans="1:7" ht="15.6" x14ac:dyDescent="0.3">
      <c r="A33" s="44" t="s">
        <v>80</v>
      </c>
      <c r="B33" s="70">
        <f>B13/(B6)</f>
        <v>0.92957738828524061</v>
      </c>
      <c r="C33" s="70">
        <f>C13/(C6+C7)</f>
        <v>0.87890059578740376</v>
      </c>
      <c r="D33" s="70">
        <f>D13/(D6+D7)</f>
        <v>0.61459264709890171</v>
      </c>
      <c r="E33" s="70">
        <f>E13/(E6+E7)</f>
        <v>0.69716462049774941</v>
      </c>
      <c r="F33" s="70">
        <v>0.67</v>
      </c>
    </row>
    <row r="34" spans="1:7" ht="15.6" x14ac:dyDescent="0.3">
      <c r="A34" s="44" t="s">
        <v>81</v>
      </c>
      <c r="B34" s="70">
        <f>B13/B14</f>
        <v>0.34085573136542419</v>
      </c>
      <c r="C34" s="70">
        <f>C13/C14</f>
        <v>0.39500385658818404</v>
      </c>
      <c r="D34" s="70">
        <f>D13/D14</f>
        <v>0.33696975550767877</v>
      </c>
      <c r="E34" s="70">
        <f>E13/E14</f>
        <v>0.27620197924950041</v>
      </c>
      <c r="F34" s="70">
        <v>0.26</v>
      </c>
    </row>
    <row r="35" spans="1:7" ht="25.5" customHeight="1" x14ac:dyDescent="0.3">
      <c r="A35" s="69" t="s">
        <v>82</v>
      </c>
      <c r="B35" s="134" t="s">
        <v>83</v>
      </c>
      <c r="C35" s="135"/>
      <c r="D35" s="135"/>
      <c r="E35" s="135"/>
    </row>
    <row r="36" spans="1:7" ht="15.6" x14ac:dyDescent="0.3">
      <c r="A36" s="44" t="s">
        <v>84</v>
      </c>
      <c r="B36" s="71">
        <f>B22/B13*100</f>
        <v>20.288212189241651</v>
      </c>
      <c r="C36" s="71">
        <f>C22/C13*100</f>
        <v>14.742827204445607</v>
      </c>
      <c r="D36" s="71">
        <f>D22/D13*100</f>
        <v>11.710358557539697</v>
      </c>
      <c r="E36" s="71">
        <f>E22/E13*100</f>
        <v>12.176771458363326</v>
      </c>
      <c r="F36" s="71">
        <v>8.4</v>
      </c>
    </row>
    <row r="37" spans="1:7" ht="15.6" x14ac:dyDescent="0.3">
      <c r="A37" s="44" t="s">
        <v>85</v>
      </c>
      <c r="B37" s="71">
        <f>B22/B14*100</f>
        <v>6.9153534038608768</v>
      </c>
      <c r="C37" s="71">
        <f>C22/C14*100</f>
        <v>5.8234736027692122</v>
      </c>
      <c r="D37" s="71">
        <f>D22/D14*100</f>
        <v>3.9460366600414063</v>
      </c>
      <c r="E37" s="71">
        <f>E22/E14*100</f>
        <v>3.3632483776687758</v>
      </c>
      <c r="F37" s="71">
        <v>2.1</v>
      </c>
    </row>
    <row r="38" spans="1:7" ht="15.6" x14ac:dyDescent="0.3">
      <c r="A38" s="45" t="s">
        <v>86</v>
      </c>
      <c r="B38" s="72">
        <f>B22/B20*100</f>
        <v>1.1705029533954354</v>
      </c>
      <c r="C38" s="72">
        <f>C22/C20*100</f>
        <v>1.3336233922126961</v>
      </c>
      <c r="D38" s="72">
        <f>D22/D20*100</f>
        <v>1.1670688485911094</v>
      </c>
      <c r="E38" s="72">
        <f>E22/E20*100</f>
        <v>0.91391868843117374</v>
      </c>
      <c r="F38" s="72">
        <v>0.6</v>
      </c>
    </row>
    <row r="39" spans="1:7" ht="45.75" customHeight="1" thickBot="1" x14ac:dyDescent="0.35">
      <c r="A39" s="42" t="s">
        <v>42</v>
      </c>
      <c r="B39" s="43">
        <v>291</v>
      </c>
      <c r="C39" s="43">
        <v>88</v>
      </c>
      <c r="D39" s="43">
        <v>80</v>
      </c>
      <c r="E39" s="42">
        <v>94</v>
      </c>
      <c r="F39" s="42">
        <v>89</v>
      </c>
    </row>
    <row r="41" spans="1:7" x14ac:dyDescent="0.3">
      <c r="A41" s="36"/>
      <c r="B41" s="36"/>
      <c r="C41" s="37"/>
      <c r="D41" s="37"/>
      <c r="E41" s="37"/>
      <c r="F41" s="37"/>
    </row>
    <row r="42" spans="1:7" x14ac:dyDescent="0.3">
      <c r="A42" s="40"/>
      <c r="B42" s="34"/>
      <c r="C42" s="34"/>
      <c r="D42" s="34"/>
      <c r="E42" s="35"/>
    </row>
    <row r="43" spans="1:7" x14ac:dyDescent="0.3">
      <c r="A43" s="40"/>
      <c r="B43" s="18"/>
      <c r="C43" s="17"/>
      <c r="D43" s="17"/>
      <c r="G43" s="41"/>
    </row>
  </sheetData>
  <mergeCells count="3">
    <mergeCell ref="B3:E3"/>
    <mergeCell ref="B28:E28"/>
    <mergeCell ref="B35:E35"/>
  </mergeCells>
  <pageMargins left="0.4" right="0.3" top="0.67" bottom="0.24" header="0.24" footer="0.24"/>
  <pageSetup orientation="landscape" r:id="rId1"/>
  <headerFooter alignWithMargins="0"/>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sqref="A1:XFD1048576"/>
    </sheetView>
  </sheetViews>
  <sheetFormatPr defaultRowHeight="14.4" x14ac:dyDescent="0.3"/>
  <cols>
    <col min="1" max="1" width="28.88671875" style="17" customWidth="1"/>
    <col min="2" max="2" width="11.88671875" style="26" customWidth="1"/>
    <col min="3" max="3" width="13.44140625" style="26" customWidth="1"/>
    <col min="4" max="4" width="13.44140625" style="17" customWidth="1"/>
    <col min="5" max="5" width="11.5546875" style="17" customWidth="1"/>
    <col min="6" max="6" width="1.33203125" style="27" customWidth="1"/>
    <col min="7" max="8" width="13.44140625" style="26" customWidth="1"/>
    <col min="9" max="9" width="11.5546875" style="17" customWidth="1"/>
    <col min="10" max="10" width="13.44140625" style="17" customWidth="1"/>
    <col min="11" max="11" width="1.33203125" style="16" customWidth="1"/>
    <col min="12" max="12" width="13.44140625" style="26" customWidth="1"/>
    <col min="13" max="13" width="13.44140625" style="17" customWidth="1"/>
    <col min="14" max="14" width="14.5546875" style="17" customWidth="1"/>
    <col min="15" max="15" width="13.44140625" style="17" customWidth="1"/>
    <col min="16" max="256" width="9.109375" style="17"/>
    <col min="257" max="257" width="28.88671875" style="17" customWidth="1"/>
    <col min="258" max="258" width="11.88671875" style="17" customWidth="1"/>
    <col min="259" max="260" width="13.44140625" style="17" customWidth="1"/>
    <col min="261" max="261" width="11.5546875" style="17" customWidth="1"/>
    <col min="262" max="262" width="1.33203125" style="17" customWidth="1"/>
    <col min="263" max="264" width="13.44140625" style="17" customWidth="1"/>
    <col min="265" max="265" width="11.5546875" style="17" customWidth="1"/>
    <col min="266" max="266" width="13.44140625" style="17" customWidth="1"/>
    <col min="267" max="267" width="1.33203125" style="17" customWidth="1"/>
    <col min="268" max="269" width="13.44140625" style="17" customWidth="1"/>
    <col min="270" max="270" width="14.5546875" style="17" customWidth="1"/>
    <col min="271" max="271" width="13.44140625" style="17" customWidth="1"/>
    <col min="272" max="512" width="9.109375" style="17"/>
    <col min="513" max="513" width="28.88671875" style="17" customWidth="1"/>
    <col min="514" max="514" width="11.88671875" style="17" customWidth="1"/>
    <col min="515" max="516" width="13.44140625" style="17" customWidth="1"/>
    <col min="517" max="517" width="11.5546875" style="17" customWidth="1"/>
    <col min="518" max="518" width="1.33203125" style="17" customWidth="1"/>
    <col min="519" max="520" width="13.44140625" style="17" customWidth="1"/>
    <col min="521" max="521" width="11.5546875" style="17" customWidth="1"/>
    <col min="522" max="522" width="13.44140625" style="17" customWidth="1"/>
    <col min="523" max="523" width="1.33203125" style="17" customWidth="1"/>
    <col min="524" max="525" width="13.44140625" style="17" customWidth="1"/>
    <col min="526" max="526" width="14.5546875" style="17" customWidth="1"/>
    <col min="527" max="527" width="13.44140625" style="17" customWidth="1"/>
    <col min="528" max="768" width="9.109375" style="17"/>
    <col min="769" max="769" width="28.88671875" style="17" customWidth="1"/>
    <col min="770" max="770" width="11.88671875" style="17" customWidth="1"/>
    <col min="771" max="772" width="13.44140625" style="17" customWidth="1"/>
    <col min="773" max="773" width="11.5546875" style="17" customWidth="1"/>
    <col min="774" max="774" width="1.33203125" style="17" customWidth="1"/>
    <col min="775" max="776" width="13.44140625" style="17" customWidth="1"/>
    <col min="777" max="777" width="11.5546875" style="17" customWidth="1"/>
    <col min="778" max="778" width="13.44140625" style="17" customWidth="1"/>
    <col min="779" max="779" width="1.33203125" style="17" customWidth="1"/>
    <col min="780" max="781" width="13.44140625" style="17" customWidth="1"/>
    <col min="782" max="782" width="14.5546875" style="17" customWidth="1"/>
    <col min="783" max="783" width="13.44140625" style="17" customWidth="1"/>
    <col min="784" max="1024" width="9.109375" style="17"/>
    <col min="1025" max="1025" width="28.88671875" style="17" customWidth="1"/>
    <col min="1026" max="1026" width="11.88671875" style="17" customWidth="1"/>
    <col min="1027" max="1028" width="13.44140625" style="17" customWidth="1"/>
    <col min="1029" max="1029" width="11.5546875" style="17" customWidth="1"/>
    <col min="1030" max="1030" width="1.33203125" style="17" customWidth="1"/>
    <col min="1031" max="1032" width="13.44140625" style="17" customWidth="1"/>
    <col min="1033" max="1033" width="11.5546875" style="17" customWidth="1"/>
    <col min="1034" max="1034" width="13.44140625" style="17" customWidth="1"/>
    <col min="1035" max="1035" width="1.33203125" style="17" customWidth="1"/>
    <col min="1036" max="1037" width="13.44140625" style="17" customWidth="1"/>
    <col min="1038" max="1038" width="14.5546875" style="17" customWidth="1"/>
    <col min="1039" max="1039" width="13.44140625" style="17" customWidth="1"/>
    <col min="1040" max="1280" width="9.109375" style="17"/>
    <col min="1281" max="1281" width="28.88671875" style="17" customWidth="1"/>
    <col min="1282" max="1282" width="11.88671875" style="17" customWidth="1"/>
    <col min="1283" max="1284" width="13.44140625" style="17" customWidth="1"/>
    <col min="1285" max="1285" width="11.5546875" style="17" customWidth="1"/>
    <col min="1286" max="1286" width="1.33203125" style="17" customWidth="1"/>
    <col min="1287" max="1288" width="13.44140625" style="17" customWidth="1"/>
    <col min="1289" max="1289" width="11.5546875" style="17" customWidth="1"/>
    <col min="1290" max="1290" width="13.44140625" style="17" customWidth="1"/>
    <col min="1291" max="1291" width="1.33203125" style="17" customWidth="1"/>
    <col min="1292" max="1293" width="13.44140625" style="17" customWidth="1"/>
    <col min="1294" max="1294" width="14.5546875" style="17" customWidth="1"/>
    <col min="1295" max="1295" width="13.44140625" style="17" customWidth="1"/>
    <col min="1296" max="1536" width="9.109375" style="17"/>
    <col min="1537" max="1537" width="28.88671875" style="17" customWidth="1"/>
    <col min="1538" max="1538" width="11.88671875" style="17" customWidth="1"/>
    <col min="1539" max="1540" width="13.44140625" style="17" customWidth="1"/>
    <col min="1541" max="1541" width="11.5546875" style="17" customWidth="1"/>
    <col min="1542" max="1542" width="1.33203125" style="17" customWidth="1"/>
    <col min="1543" max="1544" width="13.44140625" style="17" customWidth="1"/>
    <col min="1545" max="1545" width="11.5546875" style="17" customWidth="1"/>
    <col min="1546" max="1546" width="13.44140625" style="17" customWidth="1"/>
    <col min="1547" max="1547" width="1.33203125" style="17" customWidth="1"/>
    <col min="1548" max="1549" width="13.44140625" style="17" customWidth="1"/>
    <col min="1550" max="1550" width="14.5546875" style="17" customWidth="1"/>
    <col min="1551" max="1551" width="13.44140625" style="17" customWidth="1"/>
    <col min="1552" max="1792" width="9.109375" style="17"/>
    <col min="1793" max="1793" width="28.88671875" style="17" customWidth="1"/>
    <col min="1794" max="1794" width="11.88671875" style="17" customWidth="1"/>
    <col min="1795" max="1796" width="13.44140625" style="17" customWidth="1"/>
    <col min="1797" max="1797" width="11.5546875" style="17" customWidth="1"/>
    <col min="1798" max="1798" width="1.33203125" style="17" customWidth="1"/>
    <col min="1799" max="1800" width="13.44140625" style="17" customWidth="1"/>
    <col min="1801" max="1801" width="11.5546875" style="17" customWidth="1"/>
    <col min="1802" max="1802" width="13.44140625" style="17" customWidth="1"/>
    <col min="1803" max="1803" width="1.33203125" style="17" customWidth="1"/>
    <col min="1804" max="1805" width="13.44140625" style="17" customWidth="1"/>
    <col min="1806" max="1806" width="14.5546875" style="17" customWidth="1"/>
    <col min="1807" max="1807" width="13.44140625" style="17" customWidth="1"/>
    <col min="1808" max="2048" width="9.109375" style="17"/>
    <col min="2049" max="2049" width="28.88671875" style="17" customWidth="1"/>
    <col min="2050" max="2050" width="11.88671875" style="17" customWidth="1"/>
    <col min="2051" max="2052" width="13.44140625" style="17" customWidth="1"/>
    <col min="2053" max="2053" width="11.5546875" style="17" customWidth="1"/>
    <col min="2054" max="2054" width="1.33203125" style="17" customWidth="1"/>
    <col min="2055" max="2056" width="13.44140625" style="17" customWidth="1"/>
    <col min="2057" max="2057" width="11.5546875" style="17" customWidth="1"/>
    <col min="2058" max="2058" width="13.44140625" style="17" customWidth="1"/>
    <col min="2059" max="2059" width="1.33203125" style="17" customWidth="1"/>
    <col min="2060" max="2061" width="13.44140625" style="17" customWidth="1"/>
    <col min="2062" max="2062" width="14.5546875" style="17" customWidth="1"/>
    <col min="2063" max="2063" width="13.44140625" style="17" customWidth="1"/>
    <col min="2064" max="2304" width="9.109375" style="17"/>
    <col min="2305" max="2305" width="28.88671875" style="17" customWidth="1"/>
    <col min="2306" max="2306" width="11.88671875" style="17" customWidth="1"/>
    <col min="2307" max="2308" width="13.44140625" style="17" customWidth="1"/>
    <col min="2309" max="2309" width="11.5546875" style="17" customWidth="1"/>
    <col min="2310" max="2310" width="1.33203125" style="17" customWidth="1"/>
    <col min="2311" max="2312" width="13.44140625" style="17" customWidth="1"/>
    <col min="2313" max="2313" width="11.5546875" style="17" customWidth="1"/>
    <col min="2314" max="2314" width="13.44140625" style="17" customWidth="1"/>
    <col min="2315" max="2315" width="1.33203125" style="17" customWidth="1"/>
    <col min="2316" max="2317" width="13.44140625" style="17" customWidth="1"/>
    <col min="2318" max="2318" width="14.5546875" style="17" customWidth="1"/>
    <col min="2319" max="2319" width="13.44140625" style="17" customWidth="1"/>
    <col min="2320" max="2560" width="9.109375" style="17"/>
    <col min="2561" max="2561" width="28.88671875" style="17" customWidth="1"/>
    <col min="2562" max="2562" width="11.88671875" style="17" customWidth="1"/>
    <col min="2563" max="2564" width="13.44140625" style="17" customWidth="1"/>
    <col min="2565" max="2565" width="11.5546875" style="17" customWidth="1"/>
    <col min="2566" max="2566" width="1.33203125" style="17" customWidth="1"/>
    <col min="2567" max="2568" width="13.44140625" style="17" customWidth="1"/>
    <col min="2569" max="2569" width="11.5546875" style="17" customWidth="1"/>
    <col min="2570" max="2570" width="13.44140625" style="17" customWidth="1"/>
    <col min="2571" max="2571" width="1.33203125" style="17" customWidth="1"/>
    <col min="2572" max="2573" width="13.44140625" style="17" customWidth="1"/>
    <col min="2574" max="2574" width="14.5546875" style="17" customWidth="1"/>
    <col min="2575" max="2575" width="13.44140625" style="17" customWidth="1"/>
    <col min="2576" max="2816" width="9.109375" style="17"/>
    <col min="2817" max="2817" width="28.88671875" style="17" customWidth="1"/>
    <col min="2818" max="2818" width="11.88671875" style="17" customWidth="1"/>
    <col min="2819" max="2820" width="13.44140625" style="17" customWidth="1"/>
    <col min="2821" max="2821" width="11.5546875" style="17" customWidth="1"/>
    <col min="2822" max="2822" width="1.33203125" style="17" customWidth="1"/>
    <col min="2823" max="2824" width="13.44140625" style="17" customWidth="1"/>
    <col min="2825" max="2825" width="11.5546875" style="17" customWidth="1"/>
    <col min="2826" max="2826" width="13.44140625" style="17" customWidth="1"/>
    <col min="2827" max="2827" width="1.33203125" style="17" customWidth="1"/>
    <col min="2828" max="2829" width="13.44140625" style="17" customWidth="1"/>
    <col min="2830" max="2830" width="14.5546875" style="17" customWidth="1"/>
    <col min="2831" max="2831" width="13.44140625" style="17" customWidth="1"/>
    <col min="2832" max="3072" width="9.109375" style="17"/>
    <col min="3073" max="3073" width="28.88671875" style="17" customWidth="1"/>
    <col min="3074" max="3074" width="11.88671875" style="17" customWidth="1"/>
    <col min="3075" max="3076" width="13.44140625" style="17" customWidth="1"/>
    <col min="3077" max="3077" width="11.5546875" style="17" customWidth="1"/>
    <col min="3078" max="3078" width="1.33203125" style="17" customWidth="1"/>
    <col min="3079" max="3080" width="13.44140625" style="17" customWidth="1"/>
    <col min="3081" max="3081" width="11.5546875" style="17" customWidth="1"/>
    <col min="3082" max="3082" width="13.44140625" style="17" customWidth="1"/>
    <col min="3083" max="3083" width="1.33203125" style="17" customWidth="1"/>
    <col min="3084" max="3085" width="13.44140625" style="17" customWidth="1"/>
    <col min="3086" max="3086" width="14.5546875" style="17" customWidth="1"/>
    <col min="3087" max="3087" width="13.44140625" style="17" customWidth="1"/>
    <col min="3088" max="3328" width="9.109375" style="17"/>
    <col min="3329" max="3329" width="28.88671875" style="17" customWidth="1"/>
    <col min="3330" max="3330" width="11.88671875" style="17" customWidth="1"/>
    <col min="3331" max="3332" width="13.44140625" style="17" customWidth="1"/>
    <col min="3333" max="3333" width="11.5546875" style="17" customWidth="1"/>
    <col min="3334" max="3334" width="1.33203125" style="17" customWidth="1"/>
    <col min="3335" max="3336" width="13.44140625" style="17" customWidth="1"/>
    <col min="3337" max="3337" width="11.5546875" style="17" customWidth="1"/>
    <col min="3338" max="3338" width="13.44140625" style="17" customWidth="1"/>
    <col min="3339" max="3339" width="1.33203125" style="17" customWidth="1"/>
    <col min="3340" max="3341" width="13.44140625" style="17" customWidth="1"/>
    <col min="3342" max="3342" width="14.5546875" style="17" customWidth="1"/>
    <col min="3343" max="3343" width="13.44140625" style="17" customWidth="1"/>
    <col min="3344" max="3584" width="9.109375" style="17"/>
    <col min="3585" max="3585" width="28.88671875" style="17" customWidth="1"/>
    <col min="3586" max="3586" width="11.88671875" style="17" customWidth="1"/>
    <col min="3587" max="3588" width="13.44140625" style="17" customWidth="1"/>
    <col min="3589" max="3589" width="11.5546875" style="17" customWidth="1"/>
    <col min="3590" max="3590" width="1.33203125" style="17" customWidth="1"/>
    <col min="3591" max="3592" width="13.44140625" style="17" customWidth="1"/>
    <col min="3593" max="3593" width="11.5546875" style="17" customWidth="1"/>
    <col min="3594" max="3594" width="13.44140625" style="17" customWidth="1"/>
    <col min="3595" max="3595" width="1.33203125" style="17" customWidth="1"/>
    <col min="3596" max="3597" width="13.44140625" style="17" customWidth="1"/>
    <col min="3598" max="3598" width="14.5546875" style="17" customWidth="1"/>
    <col min="3599" max="3599" width="13.44140625" style="17" customWidth="1"/>
    <col min="3600" max="3840" width="9.109375" style="17"/>
    <col min="3841" max="3841" width="28.88671875" style="17" customWidth="1"/>
    <col min="3842" max="3842" width="11.88671875" style="17" customWidth="1"/>
    <col min="3843" max="3844" width="13.44140625" style="17" customWidth="1"/>
    <col min="3845" max="3845" width="11.5546875" style="17" customWidth="1"/>
    <col min="3846" max="3846" width="1.33203125" style="17" customWidth="1"/>
    <col min="3847" max="3848" width="13.44140625" style="17" customWidth="1"/>
    <col min="3849" max="3849" width="11.5546875" style="17" customWidth="1"/>
    <col min="3850" max="3850" width="13.44140625" style="17" customWidth="1"/>
    <col min="3851" max="3851" width="1.33203125" style="17" customWidth="1"/>
    <col min="3852" max="3853" width="13.44140625" style="17" customWidth="1"/>
    <col min="3854" max="3854" width="14.5546875" style="17" customWidth="1"/>
    <col min="3855" max="3855" width="13.44140625" style="17" customWidth="1"/>
    <col min="3856" max="4096" width="9.109375" style="17"/>
    <col min="4097" max="4097" width="28.88671875" style="17" customWidth="1"/>
    <col min="4098" max="4098" width="11.88671875" style="17" customWidth="1"/>
    <col min="4099" max="4100" width="13.44140625" style="17" customWidth="1"/>
    <col min="4101" max="4101" width="11.5546875" style="17" customWidth="1"/>
    <col min="4102" max="4102" width="1.33203125" style="17" customWidth="1"/>
    <col min="4103" max="4104" width="13.44140625" style="17" customWidth="1"/>
    <col min="4105" max="4105" width="11.5546875" style="17" customWidth="1"/>
    <col min="4106" max="4106" width="13.44140625" style="17" customWidth="1"/>
    <col min="4107" max="4107" width="1.33203125" style="17" customWidth="1"/>
    <col min="4108" max="4109" width="13.44140625" style="17" customWidth="1"/>
    <col min="4110" max="4110" width="14.5546875" style="17" customWidth="1"/>
    <col min="4111" max="4111" width="13.44140625" style="17" customWidth="1"/>
    <col min="4112" max="4352" width="9.109375" style="17"/>
    <col min="4353" max="4353" width="28.88671875" style="17" customWidth="1"/>
    <col min="4354" max="4354" width="11.88671875" style="17" customWidth="1"/>
    <col min="4355" max="4356" width="13.44140625" style="17" customWidth="1"/>
    <col min="4357" max="4357" width="11.5546875" style="17" customWidth="1"/>
    <col min="4358" max="4358" width="1.33203125" style="17" customWidth="1"/>
    <col min="4359" max="4360" width="13.44140625" style="17" customWidth="1"/>
    <col min="4361" max="4361" width="11.5546875" style="17" customWidth="1"/>
    <col min="4362" max="4362" width="13.44140625" style="17" customWidth="1"/>
    <col min="4363" max="4363" width="1.33203125" style="17" customWidth="1"/>
    <col min="4364" max="4365" width="13.44140625" style="17" customWidth="1"/>
    <col min="4366" max="4366" width="14.5546875" style="17" customWidth="1"/>
    <col min="4367" max="4367" width="13.44140625" style="17" customWidth="1"/>
    <col min="4368" max="4608" width="9.109375" style="17"/>
    <col min="4609" max="4609" width="28.88671875" style="17" customWidth="1"/>
    <col min="4610" max="4610" width="11.88671875" style="17" customWidth="1"/>
    <col min="4611" max="4612" width="13.44140625" style="17" customWidth="1"/>
    <col min="4613" max="4613" width="11.5546875" style="17" customWidth="1"/>
    <col min="4614" max="4614" width="1.33203125" style="17" customWidth="1"/>
    <col min="4615" max="4616" width="13.44140625" style="17" customWidth="1"/>
    <col min="4617" max="4617" width="11.5546875" style="17" customWidth="1"/>
    <col min="4618" max="4618" width="13.44140625" style="17" customWidth="1"/>
    <col min="4619" max="4619" width="1.33203125" style="17" customWidth="1"/>
    <col min="4620" max="4621" width="13.44140625" style="17" customWidth="1"/>
    <col min="4622" max="4622" width="14.5546875" style="17" customWidth="1"/>
    <col min="4623" max="4623" width="13.44140625" style="17" customWidth="1"/>
    <col min="4624" max="4864" width="9.109375" style="17"/>
    <col min="4865" max="4865" width="28.88671875" style="17" customWidth="1"/>
    <col min="4866" max="4866" width="11.88671875" style="17" customWidth="1"/>
    <col min="4867" max="4868" width="13.44140625" style="17" customWidth="1"/>
    <col min="4869" max="4869" width="11.5546875" style="17" customWidth="1"/>
    <col min="4870" max="4870" width="1.33203125" style="17" customWidth="1"/>
    <col min="4871" max="4872" width="13.44140625" style="17" customWidth="1"/>
    <col min="4873" max="4873" width="11.5546875" style="17" customWidth="1"/>
    <col min="4874" max="4874" width="13.44140625" style="17" customWidth="1"/>
    <col min="4875" max="4875" width="1.33203125" style="17" customWidth="1"/>
    <col min="4876" max="4877" width="13.44140625" style="17" customWidth="1"/>
    <col min="4878" max="4878" width="14.5546875" style="17" customWidth="1"/>
    <col min="4879" max="4879" width="13.44140625" style="17" customWidth="1"/>
    <col min="4880" max="5120" width="9.109375" style="17"/>
    <col min="5121" max="5121" width="28.88671875" style="17" customWidth="1"/>
    <col min="5122" max="5122" width="11.88671875" style="17" customWidth="1"/>
    <col min="5123" max="5124" width="13.44140625" style="17" customWidth="1"/>
    <col min="5125" max="5125" width="11.5546875" style="17" customWidth="1"/>
    <col min="5126" max="5126" width="1.33203125" style="17" customWidth="1"/>
    <col min="5127" max="5128" width="13.44140625" style="17" customWidth="1"/>
    <col min="5129" max="5129" width="11.5546875" style="17" customWidth="1"/>
    <col min="5130" max="5130" width="13.44140625" style="17" customWidth="1"/>
    <col min="5131" max="5131" width="1.33203125" style="17" customWidth="1"/>
    <col min="5132" max="5133" width="13.44140625" style="17" customWidth="1"/>
    <col min="5134" max="5134" width="14.5546875" style="17" customWidth="1"/>
    <col min="5135" max="5135" width="13.44140625" style="17" customWidth="1"/>
    <col min="5136" max="5376" width="9.109375" style="17"/>
    <col min="5377" max="5377" width="28.88671875" style="17" customWidth="1"/>
    <col min="5378" max="5378" width="11.88671875" style="17" customWidth="1"/>
    <col min="5379" max="5380" width="13.44140625" style="17" customWidth="1"/>
    <col min="5381" max="5381" width="11.5546875" style="17" customWidth="1"/>
    <col min="5382" max="5382" width="1.33203125" style="17" customWidth="1"/>
    <col min="5383" max="5384" width="13.44140625" style="17" customWidth="1"/>
    <col min="5385" max="5385" width="11.5546875" style="17" customWidth="1"/>
    <col min="5386" max="5386" width="13.44140625" style="17" customWidth="1"/>
    <col min="5387" max="5387" width="1.33203125" style="17" customWidth="1"/>
    <col min="5388" max="5389" width="13.44140625" style="17" customWidth="1"/>
    <col min="5390" max="5390" width="14.5546875" style="17" customWidth="1"/>
    <col min="5391" max="5391" width="13.44140625" style="17" customWidth="1"/>
    <col min="5392" max="5632" width="9.109375" style="17"/>
    <col min="5633" max="5633" width="28.88671875" style="17" customWidth="1"/>
    <col min="5634" max="5634" width="11.88671875" style="17" customWidth="1"/>
    <col min="5635" max="5636" width="13.44140625" style="17" customWidth="1"/>
    <col min="5637" max="5637" width="11.5546875" style="17" customWidth="1"/>
    <col min="5638" max="5638" width="1.33203125" style="17" customWidth="1"/>
    <col min="5639" max="5640" width="13.44140625" style="17" customWidth="1"/>
    <col min="5641" max="5641" width="11.5546875" style="17" customWidth="1"/>
    <col min="5642" max="5642" width="13.44140625" style="17" customWidth="1"/>
    <col min="5643" max="5643" width="1.33203125" style="17" customWidth="1"/>
    <col min="5644" max="5645" width="13.44140625" style="17" customWidth="1"/>
    <col min="5646" max="5646" width="14.5546875" style="17" customWidth="1"/>
    <col min="5647" max="5647" width="13.44140625" style="17" customWidth="1"/>
    <col min="5648" max="5888" width="9.109375" style="17"/>
    <col min="5889" max="5889" width="28.88671875" style="17" customWidth="1"/>
    <col min="5890" max="5890" width="11.88671875" style="17" customWidth="1"/>
    <col min="5891" max="5892" width="13.44140625" style="17" customWidth="1"/>
    <col min="5893" max="5893" width="11.5546875" style="17" customWidth="1"/>
    <col min="5894" max="5894" width="1.33203125" style="17" customWidth="1"/>
    <col min="5895" max="5896" width="13.44140625" style="17" customWidth="1"/>
    <col min="5897" max="5897" width="11.5546875" style="17" customWidth="1"/>
    <col min="5898" max="5898" width="13.44140625" style="17" customWidth="1"/>
    <col min="5899" max="5899" width="1.33203125" style="17" customWidth="1"/>
    <col min="5900" max="5901" width="13.44140625" style="17" customWidth="1"/>
    <col min="5902" max="5902" width="14.5546875" style="17" customWidth="1"/>
    <col min="5903" max="5903" width="13.44140625" style="17" customWidth="1"/>
    <col min="5904" max="6144" width="9.109375" style="17"/>
    <col min="6145" max="6145" width="28.88671875" style="17" customWidth="1"/>
    <col min="6146" max="6146" width="11.88671875" style="17" customWidth="1"/>
    <col min="6147" max="6148" width="13.44140625" style="17" customWidth="1"/>
    <col min="6149" max="6149" width="11.5546875" style="17" customWidth="1"/>
    <col min="6150" max="6150" width="1.33203125" style="17" customWidth="1"/>
    <col min="6151" max="6152" width="13.44140625" style="17" customWidth="1"/>
    <col min="6153" max="6153" width="11.5546875" style="17" customWidth="1"/>
    <col min="6154" max="6154" width="13.44140625" style="17" customWidth="1"/>
    <col min="6155" max="6155" width="1.33203125" style="17" customWidth="1"/>
    <col min="6156" max="6157" width="13.44140625" style="17" customWidth="1"/>
    <col min="6158" max="6158" width="14.5546875" style="17" customWidth="1"/>
    <col min="6159" max="6159" width="13.44140625" style="17" customWidth="1"/>
    <col min="6160" max="6400" width="9.109375" style="17"/>
    <col min="6401" max="6401" width="28.88671875" style="17" customWidth="1"/>
    <col min="6402" max="6402" width="11.88671875" style="17" customWidth="1"/>
    <col min="6403" max="6404" width="13.44140625" style="17" customWidth="1"/>
    <col min="6405" max="6405" width="11.5546875" style="17" customWidth="1"/>
    <col min="6406" max="6406" width="1.33203125" style="17" customWidth="1"/>
    <col min="6407" max="6408" width="13.44140625" style="17" customWidth="1"/>
    <col min="6409" max="6409" width="11.5546875" style="17" customWidth="1"/>
    <col min="6410" max="6410" width="13.44140625" style="17" customWidth="1"/>
    <col min="6411" max="6411" width="1.33203125" style="17" customWidth="1"/>
    <col min="6412" max="6413" width="13.44140625" style="17" customWidth="1"/>
    <col min="6414" max="6414" width="14.5546875" style="17" customWidth="1"/>
    <col min="6415" max="6415" width="13.44140625" style="17" customWidth="1"/>
    <col min="6416" max="6656" width="9.109375" style="17"/>
    <col min="6657" max="6657" width="28.88671875" style="17" customWidth="1"/>
    <col min="6658" max="6658" width="11.88671875" style="17" customWidth="1"/>
    <col min="6659" max="6660" width="13.44140625" style="17" customWidth="1"/>
    <col min="6661" max="6661" width="11.5546875" style="17" customWidth="1"/>
    <col min="6662" max="6662" width="1.33203125" style="17" customWidth="1"/>
    <col min="6663" max="6664" width="13.44140625" style="17" customWidth="1"/>
    <col min="6665" max="6665" width="11.5546875" style="17" customWidth="1"/>
    <col min="6666" max="6666" width="13.44140625" style="17" customWidth="1"/>
    <col min="6667" max="6667" width="1.33203125" style="17" customWidth="1"/>
    <col min="6668" max="6669" width="13.44140625" style="17" customWidth="1"/>
    <col min="6670" max="6670" width="14.5546875" style="17" customWidth="1"/>
    <col min="6671" max="6671" width="13.44140625" style="17" customWidth="1"/>
    <col min="6672" max="6912" width="9.109375" style="17"/>
    <col min="6913" max="6913" width="28.88671875" style="17" customWidth="1"/>
    <col min="6914" max="6914" width="11.88671875" style="17" customWidth="1"/>
    <col min="6915" max="6916" width="13.44140625" style="17" customWidth="1"/>
    <col min="6917" max="6917" width="11.5546875" style="17" customWidth="1"/>
    <col min="6918" max="6918" width="1.33203125" style="17" customWidth="1"/>
    <col min="6919" max="6920" width="13.44140625" style="17" customWidth="1"/>
    <col min="6921" max="6921" width="11.5546875" style="17" customWidth="1"/>
    <col min="6922" max="6922" width="13.44140625" style="17" customWidth="1"/>
    <col min="6923" max="6923" width="1.33203125" style="17" customWidth="1"/>
    <col min="6924" max="6925" width="13.44140625" style="17" customWidth="1"/>
    <col min="6926" max="6926" width="14.5546875" style="17" customWidth="1"/>
    <col min="6927" max="6927" width="13.44140625" style="17" customWidth="1"/>
    <col min="6928" max="7168" width="9.109375" style="17"/>
    <col min="7169" max="7169" width="28.88671875" style="17" customWidth="1"/>
    <col min="7170" max="7170" width="11.88671875" style="17" customWidth="1"/>
    <col min="7171" max="7172" width="13.44140625" style="17" customWidth="1"/>
    <col min="7173" max="7173" width="11.5546875" style="17" customWidth="1"/>
    <col min="7174" max="7174" width="1.33203125" style="17" customWidth="1"/>
    <col min="7175" max="7176" width="13.44140625" style="17" customWidth="1"/>
    <col min="7177" max="7177" width="11.5546875" style="17" customWidth="1"/>
    <col min="7178" max="7178" width="13.44140625" style="17" customWidth="1"/>
    <col min="7179" max="7179" width="1.33203125" style="17" customWidth="1"/>
    <col min="7180" max="7181" width="13.44140625" style="17" customWidth="1"/>
    <col min="7182" max="7182" width="14.5546875" style="17" customWidth="1"/>
    <col min="7183" max="7183" width="13.44140625" style="17" customWidth="1"/>
    <col min="7184" max="7424" width="9.109375" style="17"/>
    <col min="7425" max="7425" width="28.88671875" style="17" customWidth="1"/>
    <col min="7426" max="7426" width="11.88671875" style="17" customWidth="1"/>
    <col min="7427" max="7428" width="13.44140625" style="17" customWidth="1"/>
    <col min="7429" max="7429" width="11.5546875" style="17" customWidth="1"/>
    <col min="7430" max="7430" width="1.33203125" style="17" customWidth="1"/>
    <col min="7431" max="7432" width="13.44140625" style="17" customWidth="1"/>
    <col min="7433" max="7433" width="11.5546875" style="17" customWidth="1"/>
    <col min="7434" max="7434" width="13.44140625" style="17" customWidth="1"/>
    <col min="7435" max="7435" width="1.33203125" style="17" customWidth="1"/>
    <col min="7436" max="7437" width="13.44140625" style="17" customWidth="1"/>
    <col min="7438" max="7438" width="14.5546875" style="17" customWidth="1"/>
    <col min="7439" max="7439" width="13.44140625" style="17" customWidth="1"/>
    <col min="7440" max="7680" width="9.109375" style="17"/>
    <col min="7681" max="7681" width="28.88671875" style="17" customWidth="1"/>
    <col min="7682" max="7682" width="11.88671875" style="17" customWidth="1"/>
    <col min="7683" max="7684" width="13.44140625" style="17" customWidth="1"/>
    <col min="7685" max="7685" width="11.5546875" style="17" customWidth="1"/>
    <col min="7686" max="7686" width="1.33203125" style="17" customWidth="1"/>
    <col min="7687" max="7688" width="13.44140625" style="17" customWidth="1"/>
    <col min="7689" max="7689" width="11.5546875" style="17" customWidth="1"/>
    <col min="7690" max="7690" width="13.44140625" style="17" customWidth="1"/>
    <col min="7691" max="7691" width="1.33203125" style="17" customWidth="1"/>
    <col min="7692" max="7693" width="13.44140625" style="17" customWidth="1"/>
    <col min="7694" max="7694" width="14.5546875" style="17" customWidth="1"/>
    <col min="7695" max="7695" width="13.44140625" style="17" customWidth="1"/>
    <col min="7696" max="7936" width="9.109375" style="17"/>
    <col min="7937" max="7937" width="28.88671875" style="17" customWidth="1"/>
    <col min="7938" max="7938" width="11.88671875" style="17" customWidth="1"/>
    <col min="7939" max="7940" width="13.44140625" style="17" customWidth="1"/>
    <col min="7941" max="7941" width="11.5546875" style="17" customWidth="1"/>
    <col min="7942" max="7942" width="1.33203125" style="17" customWidth="1"/>
    <col min="7943" max="7944" width="13.44140625" style="17" customWidth="1"/>
    <col min="7945" max="7945" width="11.5546875" style="17" customWidth="1"/>
    <col min="7946" max="7946" width="13.44140625" style="17" customWidth="1"/>
    <col min="7947" max="7947" width="1.33203125" style="17" customWidth="1"/>
    <col min="7948" max="7949" width="13.44140625" style="17" customWidth="1"/>
    <col min="7950" max="7950" width="14.5546875" style="17" customWidth="1"/>
    <col min="7951" max="7951" width="13.44140625" style="17" customWidth="1"/>
    <col min="7952" max="8192" width="9.109375" style="17"/>
    <col min="8193" max="8193" width="28.88671875" style="17" customWidth="1"/>
    <col min="8194" max="8194" width="11.88671875" style="17" customWidth="1"/>
    <col min="8195" max="8196" width="13.44140625" style="17" customWidth="1"/>
    <col min="8197" max="8197" width="11.5546875" style="17" customWidth="1"/>
    <col min="8198" max="8198" width="1.33203125" style="17" customWidth="1"/>
    <col min="8199" max="8200" width="13.44140625" style="17" customWidth="1"/>
    <col min="8201" max="8201" width="11.5546875" style="17" customWidth="1"/>
    <col min="8202" max="8202" width="13.44140625" style="17" customWidth="1"/>
    <col min="8203" max="8203" width="1.33203125" style="17" customWidth="1"/>
    <col min="8204" max="8205" width="13.44140625" style="17" customWidth="1"/>
    <col min="8206" max="8206" width="14.5546875" style="17" customWidth="1"/>
    <col min="8207" max="8207" width="13.44140625" style="17" customWidth="1"/>
    <col min="8208" max="8448" width="9.109375" style="17"/>
    <col min="8449" max="8449" width="28.88671875" style="17" customWidth="1"/>
    <col min="8450" max="8450" width="11.88671875" style="17" customWidth="1"/>
    <col min="8451" max="8452" width="13.44140625" style="17" customWidth="1"/>
    <col min="8453" max="8453" width="11.5546875" style="17" customWidth="1"/>
    <col min="8454" max="8454" width="1.33203125" style="17" customWidth="1"/>
    <col min="8455" max="8456" width="13.44140625" style="17" customWidth="1"/>
    <col min="8457" max="8457" width="11.5546875" style="17" customWidth="1"/>
    <col min="8458" max="8458" width="13.44140625" style="17" customWidth="1"/>
    <col min="8459" max="8459" width="1.33203125" style="17" customWidth="1"/>
    <col min="8460" max="8461" width="13.44140625" style="17" customWidth="1"/>
    <col min="8462" max="8462" width="14.5546875" style="17" customWidth="1"/>
    <col min="8463" max="8463" width="13.44140625" style="17" customWidth="1"/>
    <col min="8464" max="8704" width="9.109375" style="17"/>
    <col min="8705" max="8705" width="28.88671875" style="17" customWidth="1"/>
    <col min="8706" max="8706" width="11.88671875" style="17" customWidth="1"/>
    <col min="8707" max="8708" width="13.44140625" style="17" customWidth="1"/>
    <col min="8709" max="8709" width="11.5546875" style="17" customWidth="1"/>
    <col min="8710" max="8710" width="1.33203125" style="17" customWidth="1"/>
    <col min="8711" max="8712" width="13.44140625" style="17" customWidth="1"/>
    <col min="8713" max="8713" width="11.5546875" style="17" customWidth="1"/>
    <col min="8714" max="8714" width="13.44140625" style="17" customWidth="1"/>
    <col min="8715" max="8715" width="1.33203125" style="17" customWidth="1"/>
    <col min="8716" max="8717" width="13.44140625" style="17" customWidth="1"/>
    <col min="8718" max="8718" width="14.5546875" style="17" customWidth="1"/>
    <col min="8719" max="8719" width="13.44140625" style="17" customWidth="1"/>
    <col min="8720" max="8960" width="9.109375" style="17"/>
    <col min="8961" max="8961" width="28.88671875" style="17" customWidth="1"/>
    <col min="8962" max="8962" width="11.88671875" style="17" customWidth="1"/>
    <col min="8963" max="8964" width="13.44140625" style="17" customWidth="1"/>
    <col min="8965" max="8965" width="11.5546875" style="17" customWidth="1"/>
    <col min="8966" max="8966" width="1.33203125" style="17" customWidth="1"/>
    <col min="8967" max="8968" width="13.44140625" style="17" customWidth="1"/>
    <col min="8969" max="8969" width="11.5546875" style="17" customWidth="1"/>
    <col min="8970" max="8970" width="13.44140625" style="17" customWidth="1"/>
    <col min="8971" max="8971" width="1.33203125" style="17" customWidth="1"/>
    <col min="8972" max="8973" width="13.44140625" style="17" customWidth="1"/>
    <col min="8974" max="8974" width="14.5546875" style="17" customWidth="1"/>
    <col min="8975" max="8975" width="13.44140625" style="17" customWidth="1"/>
    <col min="8976" max="9216" width="9.109375" style="17"/>
    <col min="9217" max="9217" width="28.88671875" style="17" customWidth="1"/>
    <col min="9218" max="9218" width="11.88671875" style="17" customWidth="1"/>
    <col min="9219" max="9220" width="13.44140625" style="17" customWidth="1"/>
    <col min="9221" max="9221" width="11.5546875" style="17" customWidth="1"/>
    <col min="9222" max="9222" width="1.33203125" style="17" customWidth="1"/>
    <col min="9223" max="9224" width="13.44140625" style="17" customWidth="1"/>
    <col min="9225" max="9225" width="11.5546875" style="17" customWidth="1"/>
    <col min="9226" max="9226" width="13.44140625" style="17" customWidth="1"/>
    <col min="9227" max="9227" width="1.33203125" style="17" customWidth="1"/>
    <col min="9228" max="9229" width="13.44140625" style="17" customWidth="1"/>
    <col min="9230" max="9230" width="14.5546875" style="17" customWidth="1"/>
    <col min="9231" max="9231" width="13.44140625" style="17" customWidth="1"/>
    <col min="9232" max="9472" width="9.109375" style="17"/>
    <col min="9473" max="9473" width="28.88671875" style="17" customWidth="1"/>
    <col min="9474" max="9474" width="11.88671875" style="17" customWidth="1"/>
    <col min="9475" max="9476" width="13.44140625" style="17" customWidth="1"/>
    <col min="9477" max="9477" width="11.5546875" style="17" customWidth="1"/>
    <col min="9478" max="9478" width="1.33203125" style="17" customWidth="1"/>
    <col min="9479" max="9480" width="13.44140625" style="17" customWidth="1"/>
    <col min="9481" max="9481" width="11.5546875" style="17" customWidth="1"/>
    <col min="9482" max="9482" width="13.44140625" style="17" customWidth="1"/>
    <col min="9483" max="9483" width="1.33203125" style="17" customWidth="1"/>
    <col min="9484" max="9485" width="13.44140625" style="17" customWidth="1"/>
    <col min="9486" max="9486" width="14.5546875" style="17" customWidth="1"/>
    <col min="9487" max="9487" width="13.44140625" style="17" customWidth="1"/>
    <col min="9488" max="9728" width="9.109375" style="17"/>
    <col min="9729" max="9729" width="28.88671875" style="17" customWidth="1"/>
    <col min="9730" max="9730" width="11.88671875" style="17" customWidth="1"/>
    <col min="9731" max="9732" width="13.44140625" style="17" customWidth="1"/>
    <col min="9733" max="9733" width="11.5546875" style="17" customWidth="1"/>
    <col min="9734" max="9734" width="1.33203125" style="17" customWidth="1"/>
    <col min="9735" max="9736" width="13.44140625" style="17" customWidth="1"/>
    <col min="9737" max="9737" width="11.5546875" style="17" customWidth="1"/>
    <col min="9738" max="9738" width="13.44140625" style="17" customWidth="1"/>
    <col min="9739" max="9739" width="1.33203125" style="17" customWidth="1"/>
    <col min="9740" max="9741" width="13.44140625" style="17" customWidth="1"/>
    <col min="9742" max="9742" width="14.5546875" style="17" customWidth="1"/>
    <col min="9743" max="9743" width="13.44140625" style="17" customWidth="1"/>
    <col min="9744" max="9984" width="9.109375" style="17"/>
    <col min="9985" max="9985" width="28.88671875" style="17" customWidth="1"/>
    <col min="9986" max="9986" width="11.88671875" style="17" customWidth="1"/>
    <col min="9987" max="9988" width="13.44140625" style="17" customWidth="1"/>
    <col min="9989" max="9989" width="11.5546875" style="17" customWidth="1"/>
    <col min="9990" max="9990" width="1.33203125" style="17" customWidth="1"/>
    <col min="9991" max="9992" width="13.44140625" style="17" customWidth="1"/>
    <col min="9993" max="9993" width="11.5546875" style="17" customWidth="1"/>
    <col min="9994" max="9994" width="13.44140625" style="17" customWidth="1"/>
    <col min="9995" max="9995" width="1.33203125" style="17" customWidth="1"/>
    <col min="9996" max="9997" width="13.44140625" style="17" customWidth="1"/>
    <col min="9998" max="9998" width="14.5546875" style="17" customWidth="1"/>
    <col min="9999" max="9999" width="13.44140625" style="17" customWidth="1"/>
    <col min="10000" max="10240" width="9.109375" style="17"/>
    <col min="10241" max="10241" width="28.88671875" style="17" customWidth="1"/>
    <col min="10242" max="10242" width="11.88671875" style="17" customWidth="1"/>
    <col min="10243" max="10244" width="13.44140625" style="17" customWidth="1"/>
    <col min="10245" max="10245" width="11.5546875" style="17" customWidth="1"/>
    <col min="10246" max="10246" width="1.33203125" style="17" customWidth="1"/>
    <col min="10247" max="10248" width="13.44140625" style="17" customWidth="1"/>
    <col min="10249" max="10249" width="11.5546875" style="17" customWidth="1"/>
    <col min="10250" max="10250" width="13.44140625" style="17" customWidth="1"/>
    <col min="10251" max="10251" width="1.33203125" style="17" customWidth="1"/>
    <col min="10252" max="10253" width="13.44140625" style="17" customWidth="1"/>
    <col min="10254" max="10254" width="14.5546875" style="17" customWidth="1"/>
    <col min="10255" max="10255" width="13.44140625" style="17" customWidth="1"/>
    <col min="10256" max="10496" width="9.109375" style="17"/>
    <col min="10497" max="10497" width="28.88671875" style="17" customWidth="1"/>
    <col min="10498" max="10498" width="11.88671875" style="17" customWidth="1"/>
    <col min="10499" max="10500" width="13.44140625" style="17" customWidth="1"/>
    <col min="10501" max="10501" width="11.5546875" style="17" customWidth="1"/>
    <col min="10502" max="10502" width="1.33203125" style="17" customWidth="1"/>
    <col min="10503" max="10504" width="13.44140625" style="17" customWidth="1"/>
    <col min="10505" max="10505" width="11.5546875" style="17" customWidth="1"/>
    <col min="10506" max="10506" width="13.44140625" style="17" customWidth="1"/>
    <col min="10507" max="10507" width="1.33203125" style="17" customWidth="1"/>
    <col min="10508" max="10509" width="13.44140625" style="17" customWidth="1"/>
    <col min="10510" max="10510" width="14.5546875" style="17" customWidth="1"/>
    <col min="10511" max="10511" width="13.44140625" style="17" customWidth="1"/>
    <col min="10512" max="10752" width="9.109375" style="17"/>
    <col min="10753" max="10753" width="28.88671875" style="17" customWidth="1"/>
    <col min="10754" max="10754" width="11.88671875" style="17" customWidth="1"/>
    <col min="10755" max="10756" width="13.44140625" style="17" customWidth="1"/>
    <col min="10757" max="10757" width="11.5546875" style="17" customWidth="1"/>
    <col min="10758" max="10758" width="1.33203125" style="17" customWidth="1"/>
    <col min="10759" max="10760" width="13.44140625" style="17" customWidth="1"/>
    <col min="10761" max="10761" width="11.5546875" style="17" customWidth="1"/>
    <col min="10762" max="10762" width="13.44140625" style="17" customWidth="1"/>
    <col min="10763" max="10763" width="1.33203125" style="17" customWidth="1"/>
    <col min="10764" max="10765" width="13.44140625" style="17" customWidth="1"/>
    <col min="10766" max="10766" width="14.5546875" style="17" customWidth="1"/>
    <col min="10767" max="10767" width="13.44140625" style="17" customWidth="1"/>
    <col min="10768" max="11008" width="9.109375" style="17"/>
    <col min="11009" max="11009" width="28.88671875" style="17" customWidth="1"/>
    <col min="11010" max="11010" width="11.88671875" style="17" customWidth="1"/>
    <col min="11011" max="11012" width="13.44140625" style="17" customWidth="1"/>
    <col min="11013" max="11013" width="11.5546875" style="17" customWidth="1"/>
    <col min="11014" max="11014" width="1.33203125" style="17" customWidth="1"/>
    <col min="11015" max="11016" width="13.44140625" style="17" customWidth="1"/>
    <col min="11017" max="11017" width="11.5546875" style="17" customWidth="1"/>
    <col min="11018" max="11018" width="13.44140625" style="17" customWidth="1"/>
    <col min="11019" max="11019" width="1.33203125" style="17" customWidth="1"/>
    <col min="11020" max="11021" width="13.44140625" style="17" customWidth="1"/>
    <col min="11022" max="11022" width="14.5546875" style="17" customWidth="1"/>
    <col min="11023" max="11023" width="13.44140625" style="17" customWidth="1"/>
    <col min="11024" max="11264" width="9.109375" style="17"/>
    <col min="11265" max="11265" width="28.88671875" style="17" customWidth="1"/>
    <col min="11266" max="11266" width="11.88671875" style="17" customWidth="1"/>
    <col min="11267" max="11268" width="13.44140625" style="17" customWidth="1"/>
    <col min="11269" max="11269" width="11.5546875" style="17" customWidth="1"/>
    <col min="11270" max="11270" width="1.33203125" style="17" customWidth="1"/>
    <col min="11271" max="11272" width="13.44140625" style="17" customWidth="1"/>
    <col min="11273" max="11273" width="11.5546875" style="17" customWidth="1"/>
    <col min="11274" max="11274" width="13.44140625" style="17" customWidth="1"/>
    <col min="11275" max="11275" width="1.33203125" style="17" customWidth="1"/>
    <col min="11276" max="11277" width="13.44140625" style="17" customWidth="1"/>
    <col min="11278" max="11278" width="14.5546875" style="17" customWidth="1"/>
    <col min="11279" max="11279" width="13.44140625" style="17" customWidth="1"/>
    <col min="11280" max="11520" width="9.109375" style="17"/>
    <col min="11521" max="11521" width="28.88671875" style="17" customWidth="1"/>
    <col min="11522" max="11522" width="11.88671875" style="17" customWidth="1"/>
    <col min="11523" max="11524" width="13.44140625" style="17" customWidth="1"/>
    <col min="11525" max="11525" width="11.5546875" style="17" customWidth="1"/>
    <col min="11526" max="11526" width="1.33203125" style="17" customWidth="1"/>
    <col min="11527" max="11528" width="13.44140625" style="17" customWidth="1"/>
    <col min="11529" max="11529" width="11.5546875" style="17" customWidth="1"/>
    <col min="11530" max="11530" width="13.44140625" style="17" customWidth="1"/>
    <col min="11531" max="11531" width="1.33203125" style="17" customWidth="1"/>
    <col min="11532" max="11533" width="13.44140625" style="17" customWidth="1"/>
    <col min="11534" max="11534" width="14.5546875" style="17" customWidth="1"/>
    <col min="11535" max="11535" width="13.44140625" style="17" customWidth="1"/>
    <col min="11536" max="11776" width="9.109375" style="17"/>
    <col min="11777" max="11777" width="28.88671875" style="17" customWidth="1"/>
    <col min="11778" max="11778" width="11.88671875" style="17" customWidth="1"/>
    <col min="11779" max="11780" width="13.44140625" style="17" customWidth="1"/>
    <col min="11781" max="11781" width="11.5546875" style="17" customWidth="1"/>
    <col min="11782" max="11782" width="1.33203125" style="17" customWidth="1"/>
    <col min="11783" max="11784" width="13.44140625" style="17" customWidth="1"/>
    <col min="11785" max="11785" width="11.5546875" style="17" customWidth="1"/>
    <col min="11786" max="11786" width="13.44140625" style="17" customWidth="1"/>
    <col min="11787" max="11787" width="1.33203125" style="17" customWidth="1"/>
    <col min="11788" max="11789" width="13.44140625" style="17" customWidth="1"/>
    <col min="11790" max="11790" width="14.5546875" style="17" customWidth="1"/>
    <col min="11791" max="11791" width="13.44140625" style="17" customWidth="1"/>
    <col min="11792" max="12032" width="9.109375" style="17"/>
    <col min="12033" max="12033" width="28.88671875" style="17" customWidth="1"/>
    <col min="12034" max="12034" width="11.88671875" style="17" customWidth="1"/>
    <col min="12035" max="12036" width="13.44140625" style="17" customWidth="1"/>
    <col min="12037" max="12037" width="11.5546875" style="17" customWidth="1"/>
    <col min="12038" max="12038" width="1.33203125" style="17" customWidth="1"/>
    <col min="12039" max="12040" width="13.44140625" style="17" customWidth="1"/>
    <col min="12041" max="12041" width="11.5546875" style="17" customWidth="1"/>
    <col min="12042" max="12042" width="13.44140625" style="17" customWidth="1"/>
    <col min="12043" max="12043" width="1.33203125" style="17" customWidth="1"/>
    <col min="12044" max="12045" width="13.44140625" style="17" customWidth="1"/>
    <col min="12046" max="12046" width="14.5546875" style="17" customWidth="1"/>
    <col min="12047" max="12047" width="13.44140625" style="17" customWidth="1"/>
    <col min="12048" max="12288" width="9.109375" style="17"/>
    <col min="12289" max="12289" width="28.88671875" style="17" customWidth="1"/>
    <col min="12290" max="12290" width="11.88671875" style="17" customWidth="1"/>
    <col min="12291" max="12292" width="13.44140625" style="17" customWidth="1"/>
    <col min="12293" max="12293" width="11.5546875" style="17" customWidth="1"/>
    <col min="12294" max="12294" width="1.33203125" style="17" customWidth="1"/>
    <col min="12295" max="12296" width="13.44140625" style="17" customWidth="1"/>
    <col min="12297" max="12297" width="11.5546875" style="17" customWidth="1"/>
    <col min="12298" max="12298" width="13.44140625" style="17" customWidth="1"/>
    <col min="12299" max="12299" width="1.33203125" style="17" customWidth="1"/>
    <col min="12300" max="12301" width="13.44140625" style="17" customWidth="1"/>
    <col min="12302" max="12302" width="14.5546875" style="17" customWidth="1"/>
    <col min="12303" max="12303" width="13.44140625" style="17" customWidth="1"/>
    <col min="12304" max="12544" width="9.109375" style="17"/>
    <col min="12545" max="12545" width="28.88671875" style="17" customWidth="1"/>
    <col min="12546" max="12546" width="11.88671875" style="17" customWidth="1"/>
    <col min="12547" max="12548" width="13.44140625" style="17" customWidth="1"/>
    <col min="12549" max="12549" width="11.5546875" style="17" customWidth="1"/>
    <col min="12550" max="12550" width="1.33203125" style="17" customWidth="1"/>
    <col min="12551" max="12552" width="13.44140625" style="17" customWidth="1"/>
    <col min="12553" max="12553" width="11.5546875" style="17" customWidth="1"/>
    <col min="12554" max="12554" width="13.44140625" style="17" customWidth="1"/>
    <col min="12555" max="12555" width="1.33203125" style="17" customWidth="1"/>
    <col min="12556" max="12557" width="13.44140625" style="17" customWidth="1"/>
    <col min="12558" max="12558" width="14.5546875" style="17" customWidth="1"/>
    <col min="12559" max="12559" width="13.44140625" style="17" customWidth="1"/>
    <col min="12560" max="12800" width="9.109375" style="17"/>
    <col min="12801" max="12801" width="28.88671875" style="17" customWidth="1"/>
    <col min="12802" max="12802" width="11.88671875" style="17" customWidth="1"/>
    <col min="12803" max="12804" width="13.44140625" style="17" customWidth="1"/>
    <col min="12805" max="12805" width="11.5546875" style="17" customWidth="1"/>
    <col min="12806" max="12806" width="1.33203125" style="17" customWidth="1"/>
    <col min="12807" max="12808" width="13.44140625" style="17" customWidth="1"/>
    <col min="12809" max="12809" width="11.5546875" style="17" customWidth="1"/>
    <col min="12810" max="12810" width="13.44140625" style="17" customWidth="1"/>
    <col min="12811" max="12811" width="1.33203125" style="17" customWidth="1"/>
    <col min="12812" max="12813" width="13.44140625" style="17" customWidth="1"/>
    <col min="12814" max="12814" width="14.5546875" style="17" customWidth="1"/>
    <col min="12815" max="12815" width="13.44140625" style="17" customWidth="1"/>
    <col min="12816" max="13056" width="9.109375" style="17"/>
    <col min="13057" max="13057" width="28.88671875" style="17" customWidth="1"/>
    <col min="13058" max="13058" width="11.88671875" style="17" customWidth="1"/>
    <col min="13059" max="13060" width="13.44140625" style="17" customWidth="1"/>
    <col min="13061" max="13061" width="11.5546875" style="17" customWidth="1"/>
    <col min="13062" max="13062" width="1.33203125" style="17" customWidth="1"/>
    <col min="13063" max="13064" width="13.44140625" style="17" customWidth="1"/>
    <col min="13065" max="13065" width="11.5546875" style="17" customWidth="1"/>
    <col min="13066" max="13066" width="13.44140625" style="17" customWidth="1"/>
    <col min="13067" max="13067" width="1.33203125" style="17" customWidth="1"/>
    <col min="13068" max="13069" width="13.44140625" style="17" customWidth="1"/>
    <col min="13070" max="13070" width="14.5546875" style="17" customWidth="1"/>
    <col min="13071" max="13071" width="13.44140625" style="17" customWidth="1"/>
    <col min="13072" max="13312" width="9.109375" style="17"/>
    <col min="13313" max="13313" width="28.88671875" style="17" customWidth="1"/>
    <col min="13314" max="13314" width="11.88671875" style="17" customWidth="1"/>
    <col min="13315" max="13316" width="13.44140625" style="17" customWidth="1"/>
    <col min="13317" max="13317" width="11.5546875" style="17" customWidth="1"/>
    <col min="13318" max="13318" width="1.33203125" style="17" customWidth="1"/>
    <col min="13319" max="13320" width="13.44140625" style="17" customWidth="1"/>
    <col min="13321" max="13321" width="11.5546875" style="17" customWidth="1"/>
    <col min="13322" max="13322" width="13.44140625" style="17" customWidth="1"/>
    <col min="13323" max="13323" width="1.33203125" style="17" customWidth="1"/>
    <col min="13324" max="13325" width="13.44140625" style="17" customWidth="1"/>
    <col min="13326" max="13326" width="14.5546875" style="17" customWidth="1"/>
    <col min="13327" max="13327" width="13.44140625" style="17" customWidth="1"/>
    <col min="13328" max="13568" width="9.109375" style="17"/>
    <col min="13569" max="13569" width="28.88671875" style="17" customWidth="1"/>
    <col min="13570" max="13570" width="11.88671875" style="17" customWidth="1"/>
    <col min="13571" max="13572" width="13.44140625" style="17" customWidth="1"/>
    <col min="13573" max="13573" width="11.5546875" style="17" customWidth="1"/>
    <col min="13574" max="13574" width="1.33203125" style="17" customWidth="1"/>
    <col min="13575" max="13576" width="13.44140625" style="17" customWidth="1"/>
    <col min="13577" max="13577" width="11.5546875" style="17" customWidth="1"/>
    <col min="13578" max="13578" width="13.44140625" style="17" customWidth="1"/>
    <col min="13579" max="13579" width="1.33203125" style="17" customWidth="1"/>
    <col min="13580" max="13581" width="13.44140625" style="17" customWidth="1"/>
    <col min="13582" max="13582" width="14.5546875" style="17" customWidth="1"/>
    <col min="13583" max="13583" width="13.44140625" style="17" customWidth="1"/>
    <col min="13584" max="13824" width="9.109375" style="17"/>
    <col min="13825" max="13825" width="28.88671875" style="17" customWidth="1"/>
    <col min="13826" max="13826" width="11.88671875" style="17" customWidth="1"/>
    <col min="13827" max="13828" width="13.44140625" style="17" customWidth="1"/>
    <col min="13829" max="13829" width="11.5546875" style="17" customWidth="1"/>
    <col min="13830" max="13830" width="1.33203125" style="17" customWidth="1"/>
    <col min="13831" max="13832" width="13.44140625" style="17" customWidth="1"/>
    <col min="13833" max="13833" width="11.5546875" style="17" customWidth="1"/>
    <col min="13834" max="13834" width="13.44140625" style="17" customWidth="1"/>
    <col min="13835" max="13835" width="1.33203125" style="17" customWidth="1"/>
    <col min="13836" max="13837" width="13.44140625" style="17" customWidth="1"/>
    <col min="13838" max="13838" width="14.5546875" style="17" customWidth="1"/>
    <col min="13839" max="13839" width="13.44140625" style="17" customWidth="1"/>
    <col min="13840" max="14080" width="9.109375" style="17"/>
    <col min="14081" max="14081" width="28.88671875" style="17" customWidth="1"/>
    <col min="14082" max="14082" width="11.88671875" style="17" customWidth="1"/>
    <col min="14083" max="14084" width="13.44140625" style="17" customWidth="1"/>
    <col min="14085" max="14085" width="11.5546875" style="17" customWidth="1"/>
    <col min="14086" max="14086" width="1.33203125" style="17" customWidth="1"/>
    <col min="14087" max="14088" width="13.44140625" style="17" customWidth="1"/>
    <col min="14089" max="14089" width="11.5546875" style="17" customWidth="1"/>
    <col min="14090" max="14090" width="13.44140625" style="17" customWidth="1"/>
    <col min="14091" max="14091" width="1.33203125" style="17" customWidth="1"/>
    <col min="14092" max="14093" width="13.44140625" style="17" customWidth="1"/>
    <col min="14094" max="14094" width="14.5546875" style="17" customWidth="1"/>
    <col min="14095" max="14095" width="13.44140625" style="17" customWidth="1"/>
    <col min="14096" max="14336" width="9.109375" style="17"/>
    <col min="14337" max="14337" width="28.88671875" style="17" customWidth="1"/>
    <col min="14338" max="14338" width="11.88671875" style="17" customWidth="1"/>
    <col min="14339" max="14340" width="13.44140625" style="17" customWidth="1"/>
    <col min="14341" max="14341" width="11.5546875" style="17" customWidth="1"/>
    <col min="14342" max="14342" width="1.33203125" style="17" customWidth="1"/>
    <col min="14343" max="14344" width="13.44140625" style="17" customWidth="1"/>
    <col min="14345" max="14345" width="11.5546875" style="17" customWidth="1"/>
    <col min="14346" max="14346" width="13.44140625" style="17" customWidth="1"/>
    <col min="14347" max="14347" width="1.33203125" style="17" customWidth="1"/>
    <col min="14348" max="14349" width="13.44140625" style="17" customWidth="1"/>
    <col min="14350" max="14350" width="14.5546875" style="17" customWidth="1"/>
    <col min="14351" max="14351" width="13.44140625" style="17" customWidth="1"/>
    <col min="14352" max="14592" width="9.109375" style="17"/>
    <col min="14593" max="14593" width="28.88671875" style="17" customWidth="1"/>
    <col min="14594" max="14594" width="11.88671875" style="17" customWidth="1"/>
    <col min="14595" max="14596" width="13.44140625" style="17" customWidth="1"/>
    <col min="14597" max="14597" width="11.5546875" style="17" customWidth="1"/>
    <col min="14598" max="14598" width="1.33203125" style="17" customWidth="1"/>
    <col min="14599" max="14600" width="13.44140625" style="17" customWidth="1"/>
    <col min="14601" max="14601" width="11.5546875" style="17" customWidth="1"/>
    <col min="14602" max="14602" width="13.44140625" style="17" customWidth="1"/>
    <col min="14603" max="14603" width="1.33203125" style="17" customWidth="1"/>
    <col min="14604" max="14605" width="13.44140625" style="17" customWidth="1"/>
    <col min="14606" max="14606" width="14.5546875" style="17" customWidth="1"/>
    <col min="14607" max="14607" width="13.44140625" style="17" customWidth="1"/>
    <col min="14608" max="14848" width="9.109375" style="17"/>
    <col min="14849" max="14849" width="28.88671875" style="17" customWidth="1"/>
    <col min="14850" max="14850" width="11.88671875" style="17" customWidth="1"/>
    <col min="14851" max="14852" width="13.44140625" style="17" customWidth="1"/>
    <col min="14853" max="14853" width="11.5546875" style="17" customWidth="1"/>
    <col min="14854" max="14854" width="1.33203125" style="17" customWidth="1"/>
    <col min="14855" max="14856" width="13.44140625" style="17" customWidth="1"/>
    <col min="14857" max="14857" width="11.5546875" style="17" customWidth="1"/>
    <col min="14858" max="14858" width="13.44140625" style="17" customWidth="1"/>
    <col min="14859" max="14859" width="1.33203125" style="17" customWidth="1"/>
    <col min="14860" max="14861" width="13.44140625" style="17" customWidth="1"/>
    <col min="14862" max="14862" width="14.5546875" style="17" customWidth="1"/>
    <col min="14863" max="14863" width="13.44140625" style="17" customWidth="1"/>
    <col min="14864" max="15104" width="9.109375" style="17"/>
    <col min="15105" max="15105" width="28.88671875" style="17" customWidth="1"/>
    <col min="15106" max="15106" width="11.88671875" style="17" customWidth="1"/>
    <col min="15107" max="15108" width="13.44140625" style="17" customWidth="1"/>
    <col min="15109" max="15109" width="11.5546875" style="17" customWidth="1"/>
    <col min="15110" max="15110" width="1.33203125" style="17" customWidth="1"/>
    <col min="15111" max="15112" width="13.44140625" style="17" customWidth="1"/>
    <col min="15113" max="15113" width="11.5546875" style="17" customWidth="1"/>
    <col min="15114" max="15114" width="13.44140625" style="17" customWidth="1"/>
    <col min="15115" max="15115" width="1.33203125" style="17" customWidth="1"/>
    <col min="15116" max="15117" width="13.44140625" style="17" customWidth="1"/>
    <col min="15118" max="15118" width="14.5546875" style="17" customWidth="1"/>
    <col min="15119" max="15119" width="13.44140625" style="17" customWidth="1"/>
    <col min="15120" max="15360" width="9.109375" style="17"/>
    <col min="15361" max="15361" width="28.88671875" style="17" customWidth="1"/>
    <col min="15362" max="15362" width="11.88671875" style="17" customWidth="1"/>
    <col min="15363" max="15364" width="13.44140625" style="17" customWidth="1"/>
    <col min="15365" max="15365" width="11.5546875" style="17" customWidth="1"/>
    <col min="15366" max="15366" width="1.33203125" style="17" customWidth="1"/>
    <col min="15367" max="15368" width="13.44140625" style="17" customWidth="1"/>
    <col min="15369" max="15369" width="11.5546875" style="17" customWidth="1"/>
    <col min="15370" max="15370" width="13.44140625" style="17" customWidth="1"/>
    <col min="15371" max="15371" width="1.33203125" style="17" customWidth="1"/>
    <col min="15372" max="15373" width="13.44140625" style="17" customWidth="1"/>
    <col min="15374" max="15374" width="14.5546875" style="17" customWidth="1"/>
    <col min="15375" max="15375" width="13.44140625" style="17" customWidth="1"/>
    <col min="15376" max="15616" width="9.109375" style="17"/>
    <col min="15617" max="15617" width="28.88671875" style="17" customWidth="1"/>
    <col min="15618" max="15618" width="11.88671875" style="17" customWidth="1"/>
    <col min="15619" max="15620" width="13.44140625" style="17" customWidth="1"/>
    <col min="15621" max="15621" width="11.5546875" style="17" customWidth="1"/>
    <col min="15622" max="15622" width="1.33203125" style="17" customWidth="1"/>
    <col min="15623" max="15624" width="13.44140625" style="17" customWidth="1"/>
    <col min="15625" max="15625" width="11.5546875" style="17" customWidth="1"/>
    <col min="15626" max="15626" width="13.44140625" style="17" customWidth="1"/>
    <col min="15627" max="15627" width="1.33203125" style="17" customWidth="1"/>
    <col min="15628" max="15629" width="13.44140625" style="17" customWidth="1"/>
    <col min="15630" max="15630" width="14.5546875" style="17" customWidth="1"/>
    <col min="15631" max="15631" width="13.44140625" style="17" customWidth="1"/>
    <col min="15632" max="15872" width="9.109375" style="17"/>
    <col min="15873" max="15873" width="28.88671875" style="17" customWidth="1"/>
    <col min="15874" max="15874" width="11.88671875" style="17" customWidth="1"/>
    <col min="15875" max="15876" width="13.44140625" style="17" customWidth="1"/>
    <col min="15877" max="15877" width="11.5546875" style="17" customWidth="1"/>
    <col min="15878" max="15878" width="1.33203125" style="17" customWidth="1"/>
    <col min="15879" max="15880" width="13.44140625" style="17" customWidth="1"/>
    <col min="15881" max="15881" width="11.5546875" style="17" customWidth="1"/>
    <col min="15882" max="15882" width="13.44140625" style="17" customWidth="1"/>
    <col min="15883" max="15883" width="1.33203125" style="17" customWidth="1"/>
    <col min="15884" max="15885" width="13.44140625" style="17" customWidth="1"/>
    <col min="15886" max="15886" width="14.5546875" style="17" customWidth="1"/>
    <col min="15887" max="15887" width="13.44140625" style="17" customWidth="1"/>
    <col min="15888" max="16128" width="9.109375" style="17"/>
    <col min="16129" max="16129" width="28.88671875" style="17" customWidth="1"/>
    <col min="16130" max="16130" width="11.88671875" style="17" customWidth="1"/>
    <col min="16131" max="16132" width="13.44140625" style="17" customWidth="1"/>
    <col min="16133" max="16133" width="11.5546875" style="17" customWidth="1"/>
    <col min="16134" max="16134" width="1.33203125" style="17" customWidth="1"/>
    <col min="16135" max="16136" width="13.44140625" style="17" customWidth="1"/>
    <col min="16137" max="16137" width="11.5546875" style="17" customWidth="1"/>
    <col min="16138" max="16138" width="13.44140625" style="17" customWidth="1"/>
    <col min="16139" max="16139" width="1.33203125" style="17" customWidth="1"/>
    <col min="16140" max="16141" width="13.44140625" style="17" customWidth="1"/>
    <col min="16142" max="16142" width="14.5546875" style="17" customWidth="1"/>
    <col min="16143" max="16143" width="13.44140625" style="17" customWidth="1"/>
    <col min="16144" max="16384" width="9.109375" style="17"/>
  </cols>
  <sheetData>
    <row r="1" spans="1:15" ht="23.25" customHeight="1" thickBot="1" x14ac:dyDescent="0.35">
      <c r="A1" s="42" t="s">
        <v>20</v>
      </c>
      <c r="B1" s="73"/>
      <c r="C1" s="74"/>
      <c r="D1" s="74"/>
      <c r="E1" s="74"/>
      <c r="F1" s="73"/>
      <c r="G1" s="73"/>
      <c r="H1" s="74"/>
      <c r="I1" s="74"/>
      <c r="J1" s="74"/>
      <c r="K1" s="74"/>
      <c r="L1" s="73"/>
      <c r="M1" s="74"/>
      <c r="N1" s="74"/>
      <c r="O1" s="74"/>
    </row>
    <row r="2" spans="1:15" ht="15" thickBot="1" x14ac:dyDescent="0.35">
      <c r="A2" s="75"/>
      <c r="B2" s="76"/>
      <c r="C2" s="77" t="s">
        <v>0</v>
      </c>
      <c r="D2" s="78"/>
      <c r="E2" s="78"/>
      <c r="F2" s="23"/>
      <c r="G2" s="79"/>
      <c r="H2" s="80" t="s">
        <v>1</v>
      </c>
      <c r="I2" s="79"/>
      <c r="J2" s="78"/>
      <c r="K2" s="23"/>
      <c r="L2" s="79"/>
      <c r="M2" s="80" t="s">
        <v>2</v>
      </c>
      <c r="N2" s="79"/>
      <c r="O2" s="78"/>
    </row>
    <row r="3" spans="1:15" x14ac:dyDescent="0.3">
      <c r="A3" s="75"/>
      <c r="B3" s="23">
        <v>1997</v>
      </c>
      <c r="C3" s="23">
        <v>2002</v>
      </c>
      <c r="D3" s="23">
        <v>2007</v>
      </c>
      <c r="E3" s="81">
        <v>2012</v>
      </c>
      <c r="F3" s="23"/>
      <c r="G3" s="23">
        <v>1997</v>
      </c>
      <c r="H3" s="23">
        <v>2002</v>
      </c>
      <c r="I3" s="23">
        <v>2007</v>
      </c>
      <c r="J3" s="81">
        <v>2012</v>
      </c>
      <c r="K3" s="23"/>
      <c r="L3" s="23">
        <v>1997</v>
      </c>
      <c r="M3" s="23">
        <v>2002</v>
      </c>
      <c r="N3" s="23">
        <v>2007</v>
      </c>
      <c r="O3" s="81">
        <v>2012</v>
      </c>
    </row>
    <row r="4" spans="1:15" ht="21.75" customHeight="1" x14ac:dyDescent="0.3">
      <c r="A4" s="21" t="s">
        <v>52</v>
      </c>
      <c r="B4" s="131" t="s">
        <v>51</v>
      </c>
      <c r="C4" s="132"/>
      <c r="D4" s="132"/>
      <c r="E4" s="82"/>
      <c r="F4" s="82"/>
      <c r="G4" s="131" t="s">
        <v>51</v>
      </c>
      <c r="H4" s="132"/>
      <c r="I4" s="132"/>
      <c r="J4" s="82"/>
      <c r="K4" s="23"/>
      <c r="L4" s="131" t="s">
        <v>51</v>
      </c>
      <c r="M4" s="132"/>
      <c r="N4" s="132"/>
      <c r="O4" s="82"/>
    </row>
    <row r="5" spans="1:15" ht="19.5" customHeight="1" x14ac:dyDescent="0.3">
      <c r="A5" s="17" t="s">
        <v>53</v>
      </c>
      <c r="B5" s="83">
        <v>17660.7</v>
      </c>
      <c r="C5" s="84">
        <v>8260</v>
      </c>
      <c r="D5" s="84">
        <v>25192</v>
      </c>
      <c r="E5" s="84">
        <v>28129</v>
      </c>
      <c r="F5" s="85"/>
      <c r="G5" s="83">
        <v>499041.7</v>
      </c>
      <c r="H5" s="84">
        <v>321336</v>
      </c>
      <c r="I5" s="26">
        <v>401100</v>
      </c>
      <c r="J5" s="84">
        <v>283391</v>
      </c>
      <c r="K5" s="86"/>
      <c r="L5" s="83">
        <v>2728970.3</v>
      </c>
      <c r="M5" s="84">
        <v>3449236</v>
      </c>
      <c r="N5" s="26">
        <v>6832131</v>
      </c>
      <c r="O5" s="26">
        <v>8311785</v>
      </c>
    </row>
    <row r="6" spans="1:15" ht="30.6" x14ac:dyDescent="0.3">
      <c r="A6" s="87" t="s">
        <v>127</v>
      </c>
      <c r="B6" s="83">
        <f>5122.9+1177.4</f>
        <v>6300.2999999999993</v>
      </c>
      <c r="C6" s="84">
        <v>6063</v>
      </c>
      <c r="D6" s="84">
        <v>7835</v>
      </c>
      <c r="E6" s="84">
        <v>5369</v>
      </c>
      <c r="F6" s="85"/>
      <c r="G6" s="83">
        <f>193999.5+17042.1</f>
        <v>211041.6</v>
      </c>
      <c r="H6" s="84">
        <v>203375</v>
      </c>
      <c r="I6" s="26">
        <v>191603</v>
      </c>
      <c r="J6" s="84">
        <v>107361</v>
      </c>
      <c r="K6" s="86"/>
      <c r="L6" s="83">
        <f>1310434.9+485151.2</f>
        <v>1795586.0999999999</v>
      </c>
      <c r="M6" s="84">
        <v>3693565</v>
      </c>
      <c r="N6" s="26">
        <f>4409956+935</f>
        <v>4410891</v>
      </c>
      <c r="O6" s="26">
        <v>4258431</v>
      </c>
    </row>
    <row r="7" spans="1:15" ht="16.2" x14ac:dyDescent="0.45">
      <c r="A7" s="17" t="s">
        <v>54</v>
      </c>
      <c r="B7" s="88">
        <v>13472.7</v>
      </c>
      <c r="C7" s="89">
        <v>3507</v>
      </c>
      <c r="D7" s="89">
        <v>10031</v>
      </c>
      <c r="E7" s="89">
        <v>10060</v>
      </c>
      <c r="F7" s="90"/>
      <c r="G7" s="88">
        <v>91165.8</v>
      </c>
      <c r="H7" s="89">
        <v>38933</v>
      </c>
      <c r="I7" s="91">
        <v>16201</v>
      </c>
      <c r="J7" s="89">
        <v>37111</v>
      </c>
      <c r="K7" s="92"/>
      <c r="L7" s="88">
        <v>531868.30000000005</v>
      </c>
      <c r="M7" s="89">
        <v>641182</v>
      </c>
      <c r="N7" s="91">
        <v>125835</v>
      </c>
      <c r="O7" s="91">
        <v>898594</v>
      </c>
    </row>
    <row r="8" spans="1:15" ht="16.2" x14ac:dyDescent="0.45">
      <c r="A8" s="17" t="s">
        <v>58</v>
      </c>
      <c r="B8" s="93">
        <f>SUM(B5:B7)</f>
        <v>37433.699999999997</v>
      </c>
      <c r="C8" s="94">
        <f>SUM(C4:C7)</f>
        <v>17830</v>
      </c>
      <c r="D8" s="94">
        <f>SUM(D4:D7)</f>
        <v>43058</v>
      </c>
      <c r="E8" s="94">
        <v>43558</v>
      </c>
      <c r="F8" s="95"/>
      <c r="G8" s="93">
        <v>801249.2</v>
      </c>
      <c r="H8" s="94">
        <f>SUM(H4:H7)</f>
        <v>563644</v>
      </c>
      <c r="I8" s="96">
        <f>SUM(I4:I7)</f>
        <v>608904</v>
      </c>
      <c r="J8" s="94">
        <v>427863</v>
      </c>
      <c r="K8" s="97"/>
      <c r="L8" s="93">
        <v>5056424.5999999996</v>
      </c>
      <c r="M8" s="94">
        <f>SUM(M4:M7)</f>
        <v>7783983</v>
      </c>
      <c r="N8" s="96">
        <f>SUM(N4:N7)</f>
        <v>11368857</v>
      </c>
      <c r="O8" s="96">
        <v>13468811</v>
      </c>
    </row>
    <row r="9" spans="1:15" ht="26.25" customHeight="1" x14ac:dyDescent="0.3">
      <c r="A9" s="17" t="s">
        <v>59</v>
      </c>
      <c r="B9" s="83">
        <v>9045.2000000000007</v>
      </c>
      <c r="C9" s="84">
        <v>3808</v>
      </c>
      <c r="D9" s="84">
        <v>17822</v>
      </c>
      <c r="E9" s="84">
        <v>19409</v>
      </c>
      <c r="F9" s="85"/>
      <c r="G9" s="83">
        <v>307351.90000000002</v>
      </c>
      <c r="H9" s="84">
        <v>248142</v>
      </c>
      <c r="I9" s="26">
        <v>250012</v>
      </c>
      <c r="J9" s="26">
        <v>246435</v>
      </c>
      <c r="K9" s="86"/>
      <c r="L9" s="83">
        <v>2220160.4</v>
      </c>
      <c r="M9" s="84">
        <v>2958650</v>
      </c>
      <c r="N9" s="26">
        <v>6023005</v>
      </c>
      <c r="O9" s="26">
        <v>6617739</v>
      </c>
    </row>
    <row r="10" spans="1:15" ht="16.2" x14ac:dyDescent="0.45">
      <c r="A10" s="17" t="s">
        <v>60</v>
      </c>
      <c r="B10" s="88">
        <v>975</v>
      </c>
      <c r="C10" s="89">
        <v>972</v>
      </c>
      <c r="D10" s="89">
        <f>2121+622</f>
        <v>2743</v>
      </c>
      <c r="E10" s="89">
        <v>2580</v>
      </c>
      <c r="F10" s="85"/>
      <c r="G10" s="88">
        <v>33644.5</v>
      </c>
      <c r="H10" s="89">
        <v>76242</v>
      </c>
      <c r="I10" s="91">
        <v>133665</v>
      </c>
      <c r="J10" s="91">
        <v>29473</v>
      </c>
      <c r="K10" s="86"/>
      <c r="L10" s="88">
        <v>995340.4</v>
      </c>
      <c r="M10" s="89">
        <v>2258736</v>
      </c>
      <c r="N10" s="91">
        <f>2273343+55</f>
        <v>2273398</v>
      </c>
      <c r="O10" s="91">
        <v>3467283</v>
      </c>
    </row>
    <row r="11" spans="1:15" x14ac:dyDescent="0.3">
      <c r="A11" s="17" t="s">
        <v>61</v>
      </c>
      <c r="B11" s="84">
        <f>SUM(B9:B10)</f>
        <v>10020.200000000001</v>
      </c>
      <c r="C11" s="84">
        <f>SUM(C9:C10)</f>
        <v>4780</v>
      </c>
      <c r="D11" s="84">
        <f>SUM(D9:D10)</f>
        <v>20565</v>
      </c>
      <c r="E11" s="84">
        <v>21990</v>
      </c>
      <c r="F11" s="86"/>
      <c r="G11" s="84">
        <f>SUM(G9:G10)</f>
        <v>340996.4</v>
      </c>
      <c r="H11" s="84">
        <f>SUM(H9:H10)</f>
        <v>324384</v>
      </c>
      <c r="I11" s="26">
        <f>SUM(I9:I10)</f>
        <v>383677</v>
      </c>
      <c r="J11" s="26">
        <v>275907</v>
      </c>
      <c r="K11" s="86"/>
      <c r="L11" s="84">
        <f>SUM(L9:L10)</f>
        <v>3215500.8</v>
      </c>
      <c r="M11" s="84">
        <f>SUM(M9:M10)</f>
        <v>5217386</v>
      </c>
      <c r="N11" s="26">
        <f>SUM(N9:N10)</f>
        <v>8296403</v>
      </c>
      <c r="O11" s="26">
        <v>10085022</v>
      </c>
    </row>
    <row r="12" spans="1:15" ht="23.25" customHeight="1" x14ac:dyDescent="0.3">
      <c r="A12" s="17" t="s">
        <v>62</v>
      </c>
      <c r="B12" s="98">
        <v>27413.4</v>
      </c>
      <c r="C12" s="99">
        <v>13050</v>
      </c>
      <c r="D12" s="99">
        <v>22493</v>
      </c>
      <c r="E12" s="99">
        <v>21569</v>
      </c>
      <c r="F12" s="98"/>
      <c r="G12" s="98">
        <v>460252.8</v>
      </c>
      <c r="H12" s="99">
        <v>239260</v>
      </c>
      <c r="I12" s="32">
        <v>225226</v>
      </c>
      <c r="J12" s="32">
        <v>151956</v>
      </c>
      <c r="K12" s="99"/>
      <c r="L12" s="98">
        <v>1840923.8</v>
      </c>
      <c r="M12" s="99">
        <v>2566597</v>
      </c>
      <c r="N12" s="32">
        <v>3072454</v>
      </c>
      <c r="O12" s="32">
        <v>3383788</v>
      </c>
    </row>
    <row r="13" spans="1:15" s="26" customFormat="1" ht="27" customHeight="1" x14ac:dyDescent="0.45">
      <c r="A13" s="26" t="s">
        <v>63</v>
      </c>
      <c r="B13" s="96">
        <f>B12+B11</f>
        <v>37433.600000000006</v>
      </c>
      <c r="C13" s="96">
        <f>C12+C11</f>
        <v>17830</v>
      </c>
      <c r="D13" s="96">
        <f>D12+D11</f>
        <v>43058</v>
      </c>
      <c r="E13" s="96">
        <v>43558</v>
      </c>
      <c r="F13" s="96"/>
      <c r="G13" s="96">
        <f>G12+G11</f>
        <v>801249.2</v>
      </c>
      <c r="H13" s="96">
        <f>H12+H11</f>
        <v>563644</v>
      </c>
      <c r="I13" s="96">
        <f>I12+I11+0.5</f>
        <v>608903.5</v>
      </c>
      <c r="J13" s="96">
        <v>427863</v>
      </c>
      <c r="K13" s="96"/>
      <c r="L13" s="96">
        <f>L12+L11</f>
        <v>5056424.5999999996</v>
      </c>
      <c r="M13" s="96">
        <f>M12+M11</f>
        <v>7783983</v>
      </c>
      <c r="N13" s="96">
        <f>N12+N11</f>
        <v>11368857</v>
      </c>
      <c r="O13" s="96">
        <v>13468811</v>
      </c>
    </row>
    <row r="14" spans="1:15" x14ac:dyDescent="0.3">
      <c r="B14" s="83"/>
      <c r="C14" s="86"/>
      <c r="D14" s="84"/>
      <c r="E14" s="84"/>
      <c r="F14" s="85"/>
      <c r="G14" s="83"/>
      <c r="H14" s="84"/>
      <c r="I14" s="26"/>
      <c r="J14" s="84"/>
      <c r="K14" s="86"/>
      <c r="L14" s="83"/>
      <c r="M14" s="84"/>
      <c r="N14" s="26"/>
      <c r="O14" s="84"/>
    </row>
    <row r="15" spans="1:15" x14ac:dyDescent="0.3">
      <c r="A15" s="21" t="s">
        <v>64</v>
      </c>
      <c r="B15" s="83"/>
      <c r="C15" s="86"/>
      <c r="D15" s="84"/>
      <c r="E15" s="84"/>
      <c r="F15" s="85"/>
      <c r="G15" s="83"/>
      <c r="H15" s="84"/>
      <c r="I15" s="26"/>
      <c r="J15" s="84"/>
      <c r="K15" s="86"/>
      <c r="L15" s="83"/>
      <c r="M15" s="84"/>
      <c r="N15" s="26"/>
      <c r="O15" s="84"/>
    </row>
    <row r="16" spans="1:15" ht="21.75" customHeight="1" x14ac:dyDescent="0.3">
      <c r="A16" s="17" t="s">
        <v>65</v>
      </c>
      <c r="B16" s="26">
        <v>90900</v>
      </c>
      <c r="C16" s="84">
        <v>53944</v>
      </c>
      <c r="D16" s="84">
        <v>123755</v>
      </c>
      <c r="E16" s="84">
        <v>109615</v>
      </c>
      <c r="G16" s="26">
        <v>2939000</v>
      </c>
      <c r="H16" s="84">
        <v>2113020</v>
      </c>
      <c r="I16" s="26">
        <v>2353959</v>
      </c>
      <c r="J16" s="84">
        <v>2473538</v>
      </c>
      <c r="K16" s="86"/>
      <c r="L16" s="26">
        <v>19689000</v>
      </c>
      <c r="M16" s="84">
        <v>22191445</v>
      </c>
      <c r="N16" s="26">
        <v>36288001</v>
      </c>
      <c r="O16" s="26">
        <v>35329737</v>
      </c>
    </row>
    <row r="17" spans="1:15" x14ac:dyDescent="0.3">
      <c r="A17" s="17" t="s">
        <v>66</v>
      </c>
      <c r="B17" s="26">
        <v>38100</v>
      </c>
      <c r="C17" s="84">
        <v>19981</v>
      </c>
      <c r="D17" s="84">
        <v>44255</v>
      </c>
      <c r="E17" s="84">
        <v>88961</v>
      </c>
      <c r="G17" s="26">
        <v>72500</v>
      </c>
      <c r="H17" s="84">
        <v>39489</v>
      </c>
      <c r="I17" s="26">
        <v>63474</v>
      </c>
      <c r="J17" s="84">
        <v>150049</v>
      </c>
      <c r="K17" s="86"/>
      <c r="L17" s="26">
        <v>1916200</v>
      </c>
      <c r="M17" s="84">
        <v>3337849</v>
      </c>
      <c r="N17" s="26">
        <v>5020543</v>
      </c>
      <c r="O17" s="26">
        <v>10445688</v>
      </c>
    </row>
    <row r="18" spans="1:15" x14ac:dyDescent="0.3">
      <c r="A18" s="17" t="s">
        <v>67</v>
      </c>
      <c r="B18" s="26">
        <f>(5+2.4)*1000</f>
        <v>7400</v>
      </c>
      <c r="C18" s="84">
        <v>1683</v>
      </c>
      <c r="D18" s="84">
        <f>5219+288</f>
        <v>5507</v>
      </c>
      <c r="E18" s="84">
        <v>1712</v>
      </c>
      <c r="G18" s="26">
        <f>(12.5+53.8)*1000</f>
        <v>66300</v>
      </c>
      <c r="H18" s="84">
        <v>18965</v>
      </c>
      <c r="I18" s="26">
        <f>23014+8</f>
        <v>23022</v>
      </c>
      <c r="J18" s="84">
        <v>8311</v>
      </c>
      <c r="K18" s="86"/>
      <c r="L18" s="26">
        <f>(671.9+176.5)*1000</f>
        <v>848400</v>
      </c>
      <c r="M18" s="84">
        <v>454621</v>
      </c>
      <c r="N18" s="26">
        <f>290647+15437</f>
        <v>306084</v>
      </c>
      <c r="O18" s="26">
        <v>288994</v>
      </c>
    </row>
    <row r="19" spans="1:15" ht="16.2" x14ac:dyDescent="0.45">
      <c r="A19" s="17" t="s">
        <v>68</v>
      </c>
      <c r="B19" s="91">
        <v>1900</v>
      </c>
      <c r="C19" s="89">
        <v>555</v>
      </c>
      <c r="D19" s="89">
        <v>1261</v>
      </c>
      <c r="E19" s="89">
        <v>1333</v>
      </c>
      <c r="F19" s="100"/>
      <c r="G19" s="91">
        <v>4600</v>
      </c>
      <c r="H19" s="89">
        <v>3982</v>
      </c>
      <c r="I19" s="91">
        <v>2532</v>
      </c>
      <c r="J19" s="89">
        <v>5292</v>
      </c>
      <c r="K19" s="92"/>
      <c r="L19" s="91">
        <v>67700</v>
      </c>
      <c r="M19" s="89">
        <v>49344</v>
      </c>
      <c r="N19" s="91">
        <v>4584</v>
      </c>
      <c r="O19" s="91">
        <v>980</v>
      </c>
    </row>
    <row r="20" spans="1:15" x14ac:dyDescent="0.3">
      <c r="A20" s="17" t="s">
        <v>69</v>
      </c>
      <c r="B20" s="26">
        <f>SUM(B16:B19)</f>
        <v>138300</v>
      </c>
      <c r="C20" s="84">
        <v>76163</v>
      </c>
      <c r="D20" s="84">
        <f>SUM(D16:D19)</f>
        <v>174778</v>
      </c>
      <c r="E20" s="84">
        <v>201621</v>
      </c>
      <c r="G20" s="26">
        <f>SUM(G16:G19)</f>
        <v>3082400</v>
      </c>
      <c r="H20" s="84">
        <v>2175456</v>
      </c>
      <c r="I20" s="26">
        <f>SUM(I16:I19)</f>
        <v>2442987</v>
      </c>
      <c r="J20" s="84">
        <v>2637190</v>
      </c>
      <c r="K20" s="86"/>
      <c r="L20" s="26">
        <f>SUM(L16:L19)</f>
        <v>22521300</v>
      </c>
      <c r="M20" s="84">
        <v>26033259</v>
      </c>
      <c r="N20" s="26">
        <f>SUM(N16:N19)</f>
        <v>41619212</v>
      </c>
      <c r="O20" s="26">
        <v>46065399</v>
      </c>
    </row>
    <row r="21" spans="1:15" ht="26.4" customHeight="1" x14ac:dyDescent="0.3">
      <c r="A21" s="17" t="s">
        <v>88</v>
      </c>
      <c r="B21" s="26">
        <v>135500</v>
      </c>
      <c r="C21" s="84">
        <v>75525</v>
      </c>
      <c r="D21" s="84">
        <v>172332</v>
      </c>
      <c r="E21" s="84">
        <v>192728</v>
      </c>
      <c r="G21" s="26">
        <v>2970000</v>
      </c>
      <c r="H21" s="84">
        <v>2145990</v>
      </c>
      <c r="I21" s="26">
        <v>2403281</v>
      </c>
      <c r="J21" s="26">
        <v>2616434</v>
      </c>
      <c r="K21" s="86"/>
      <c r="L21" s="26">
        <v>22293200</v>
      </c>
      <c r="M21" s="84">
        <v>25733258</v>
      </c>
      <c r="N21" s="26">
        <v>41257075</v>
      </c>
      <c r="O21" s="26">
        <v>45797049</v>
      </c>
    </row>
    <row r="22" spans="1:15" s="26" customFormat="1" ht="26.4" customHeight="1" x14ac:dyDescent="0.45">
      <c r="A22" s="27" t="s">
        <v>89</v>
      </c>
      <c r="B22" s="101">
        <f>B20-B21</f>
        <v>2800</v>
      </c>
      <c r="C22" s="101">
        <f>C20-C21</f>
        <v>638</v>
      </c>
      <c r="D22" s="101">
        <f>D20-D21</f>
        <v>2446</v>
      </c>
      <c r="E22" s="101">
        <v>8893</v>
      </c>
      <c r="F22" s="101"/>
      <c r="G22" s="101">
        <f>G20-G21</f>
        <v>112400</v>
      </c>
      <c r="H22" s="101">
        <f>H20-H21</f>
        <v>29466</v>
      </c>
      <c r="I22" s="101">
        <f>I20-I21</f>
        <v>39706</v>
      </c>
      <c r="J22" s="101">
        <v>20757</v>
      </c>
      <c r="K22" s="101"/>
      <c r="L22" s="101">
        <f>L20-L21</f>
        <v>228100</v>
      </c>
      <c r="M22" s="101">
        <f>M20-M21</f>
        <v>300001</v>
      </c>
      <c r="N22" s="101">
        <f>N20-N21</f>
        <v>362137</v>
      </c>
      <c r="O22" s="101">
        <v>268350</v>
      </c>
    </row>
    <row r="23" spans="1:15" ht="41.25" customHeight="1" x14ac:dyDescent="0.3">
      <c r="A23" s="17" t="s">
        <v>90</v>
      </c>
      <c r="B23" s="26">
        <v>659.5</v>
      </c>
      <c r="C23" s="26">
        <v>411</v>
      </c>
      <c r="D23" s="26">
        <v>587</v>
      </c>
      <c r="E23" s="17">
        <v>531</v>
      </c>
      <c r="G23" s="26">
        <v>11126.5</v>
      </c>
      <c r="H23" s="26">
        <v>11568</v>
      </c>
      <c r="I23" s="26">
        <v>9225</v>
      </c>
      <c r="J23" s="26">
        <v>10482</v>
      </c>
      <c r="K23" s="27"/>
      <c r="L23" s="26">
        <v>102646.39999999999</v>
      </c>
      <c r="M23" s="26">
        <v>127616</v>
      </c>
      <c r="N23" s="26">
        <v>136124</v>
      </c>
      <c r="O23" s="26">
        <v>123371</v>
      </c>
    </row>
    <row r="24" spans="1:15" ht="21.75" customHeight="1" x14ac:dyDescent="0.3">
      <c r="A24" s="31" t="s">
        <v>42</v>
      </c>
      <c r="B24" s="32">
        <v>28</v>
      </c>
      <c r="C24" s="32">
        <v>22</v>
      </c>
      <c r="D24" s="32">
        <v>30</v>
      </c>
      <c r="E24" s="32">
        <v>27</v>
      </c>
      <c r="F24" s="32"/>
      <c r="G24" s="32">
        <v>35</v>
      </c>
      <c r="H24" s="32">
        <v>34</v>
      </c>
      <c r="I24" s="32">
        <v>38</v>
      </c>
      <c r="J24" s="32">
        <v>40</v>
      </c>
      <c r="K24" s="32"/>
      <c r="L24" s="32">
        <v>25</v>
      </c>
      <c r="M24" s="32">
        <v>24</v>
      </c>
      <c r="N24" s="32">
        <v>26</v>
      </c>
      <c r="O24" s="32">
        <v>22</v>
      </c>
    </row>
    <row r="25" spans="1:15" ht="24.75" customHeight="1" x14ac:dyDescent="0.3">
      <c r="B25" s="27"/>
      <c r="F25" s="75"/>
      <c r="G25" s="27"/>
      <c r="L25" s="102"/>
    </row>
    <row r="26" spans="1:15" ht="15" thickBot="1" x14ac:dyDescent="0.35">
      <c r="A26" s="74" t="s">
        <v>21</v>
      </c>
      <c r="B26" s="73"/>
      <c r="C26" s="74"/>
      <c r="D26" s="15"/>
      <c r="E26" s="15"/>
      <c r="F26" s="74"/>
      <c r="G26" s="73"/>
      <c r="H26" s="74"/>
      <c r="I26" s="15"/>
      <c r="J26" s="15"/>
      <c r="K26" s="15"/>
      <c r="L26" s="74"/>
      <c r="M26" s="15"/>
      <c r="N26" s="15"/>
      <c r="O26" s="15"/>
    </row>
    <row r="27" spans="1:15" ht="15" thickBot="1" x14ac:dyDescent="0.35">
      <c r="A27" s="75"/>
      <c r="B27" s="76"/>
      <c r="C27" s="77" t="s">
        <v>0</v>
      </c>
      <c r="D27" s="78"/>
      <c r="E27" s="78"/>
      <c r="F27" s="23"/>
      <c r="G27" s="79"/>
      <c r="H27" s="80" t="s">
        <v>1</v>
      </c>
      <c r="I27" s="79"/>
      <c r="J27" s="78"/>
      <c r="K27" s="23"/>
      <c r="L27" s="79"/>
      <c r="M27" s="80" t="s">
        <v>2</v>
      </c>
      <c r="N27" s="79"/>
      <c r="O27" s="78"/>
    </row>
    <row r="28" spans="1:15" x14ac:dyDescent="0.3">
      <c r="A28" s="75"/>
      <c r="B28" s="81">
        <v>1997</v>
      </c>
      <c r="C28" s="23">
        <v>2002</v>
      </c>
      <c r="D28" s="23">
        <v>2007</v>
      </c>
      <c r="E28" s="81">
        <v>2012</v>
      </c>
      <c r="F28" s="23"/>
      <c r="G28" s="81">
        <v>1997</v>
      </c>
      <c r="H28" s="23">
        <v>2002</v>
      </c>
      <c r="I28" s="23">
        <v>2007</v>
      </c>
      <c r="J28" s="81">
        <v>2012</v>
      </c>
      <c r="K28" s="23"/>
      <c r="L28" s="81">
        <v>1997</v>
      </c>
      <c r="M28" s="23">
        <v>2002</v>
      </c>
      <c r="N28" s="23">
        <v>2007</v>
      </c>
      <c r="O28" s="81">
        <v>2012</v>
      </c>
    </row>
    <row r="29" spans="1:15" ht="29.25" customHeight="1" x14ac:dyDescent="0.3">
      <c r="A29" s="21" t="s">
        <v>74</v>
      </c>
      <c r="B29" s="138" t="s">
        <v>75</v>
      </c>
      <c r="C29" s="132"/>
      <c r="D29" s="132"/>
      <c r="E29" s="82"/>
      <c r="G29" s="138" t="s">
        <v>75</v>
      </c>
      <c r="H29" s="132"/>
      <c r="I29" s="132"/>
      <c r="J29" s="82"/>
      <c r="K29" s="103"/>
      <c r="L29" s="138" t="s">
        <v>75</v>
      </c>
      <c r="M29" s="132"/>
      <c r="N29" s="132"/>
      <c r="O29" s="82"/>
    </row>
    <row r="30" spans="1:15" ht="19.5" customHeight="1" x14ac:dyDescent="0.3">
      <c r="A30" s="17" t="s">
        <v>76</v>
      </c>
      <c r="B30" s="25">
        <f>B5/B9</f>
        <v>1.9524941405386282</v>
      </c>
      <c r="C30" s="25">
        <f>C5/C9</f>
        <v>2.1691176470588234</v>
      </c>
      <c r="D30" s="25">
        <f>D5/D9</f>
        <v>1.4135338345864661</v>
      </c>
      <c r="E30" s="25">
        <v>1.45</v>
      </c>
      <c r="F30" s="104"/>
      <c r="G30" s="25">
        <f>G5/G9</f>
        <v>1.623681844816967</v>
      </c>
      <c r="H30" s="25">
        <f>H5/H9</f>
        <v>1.2949682036898227</v>
      </c>
      <c r="I30" s="25">
        <f>I5/I9</f>
        <v>1.6043229924963602</v>
      </c>
      <c r="J30" s="25">
        <v>1.1499999999999999</v>
      </c>
      <c r="K30" s="104"/>
      <c r="L30" s="25">
        <f>L5/L9</f>
        <v>1.2291770900877252</v>
      </c>
      <c r="M30" s="25">
        <f>M5/M9</f>
        <v>1.1658141382049245</v>
      </c>
      <c r="N30" s="25">
        <f>N5/N9</f>
        <v>1.1343392542426911</v>
      </c>
      <c r="O30" s="25">
        <v>1.26</v>
      </c>
    </row>
    <row r="31" spans="1:15" x14ac:dyDescent="0.3">
      <c r="A31" s="17" t="s">
        <v>77</v>
      </c>
      <c r="B31" s="25">
        <f>B9/B8</f>
        <v>0.24163253966345838</v>
      </c>
      <c r="C31" s="25">
        <f>C9/C8</f>
        <v>0.21357263039820526</v>
      </c>
      <c r="D31" s="25">
        <f>D9/D8</f>
        <v>0.41390682335454504</v>
      </c>
      <c r="E31" s="25">
        <v>0.45</v>
      </c>
      <c r="F31" s="104"/>
      <c r="G31" s="25">
        <f>G9/G8</f>
        <v>0.38359089781306493</v>
      </c>
      <c r="H31" s="25">
        <f>H9/H8</f>
        <v>0.44024597086103995</v>
      </c>
      <c r="I31" s="25">
        <f>I9/I8</f>
        <v>0.41059345972435718</v>
      </c>
      <c r="J31" s="25">
        <v>0.57999999999999996</v>
      </c>
      <c r="K31" s="104"/>
      <c r="L31" s="25">
        <f>L9/L8</f>
        <v>0.43907712971731055</v>
      </c>
      <c r="M31" s="25">
        <f>M9/M8</f>
        <v>0.38009461223129598</v>
      </c>
      <c r="N31" s="25">
        <f>N9/N8</f>
        <v>0.52978105010908305</v>
      </c>
      <c r="O31" s="25">
        <v>0.49</v>
      </c>
    </row>
    <row r="32" spans="1:15" x14ac:dyDescent="0.3">
      <c r="A32" s="17" t="s">
        <v>78</v>
      </c>
      <c r="B32" s="25">
        <f>B10/B12</f>
        <v>3.5566547746722403E-2</v>
      </c>
      <c r="C32" s="25">
        <f>C10/C12</f>
        <v>7.4482758620689649E-2</v>
      </c>
      <c r="D32" s="25">
        <f>D10/D12</f>
        <v>0.12194905081580937</v>
      </c>
      <c r="E32" s="25">
        <v>0.12</v>
      </c>
      <c r="F32" s="104"/>
      <c r="G32" s="25">
        <f>G10/G12</f>
        <v>7.3100044149649934E-2</v>
      </c>
      <c r="H32" s="25">
        <f>H10/H12</f>
        <v>0.31865752737607622</v>
      </c>
      <c r="I32" s="25">
        <f>I10/I12</f>
        <v>0.59347055846127894</v>
      </c>
      <c r="J32" s="25">
        <v>0.19</v>
      </c>
      <c r="K32" s="104"/>
      <c r="L32" s="25">
        <f>L10/L12</f>
        <v>0.54067441574713737</v>
      </c>
      <c r="M32" s="25">
        <f>M10/M12</f>
        <v>0.88005090008287234</v>
      </c>
      <c r="N32" s="25">
        <f>N10/N12</f>
        <v>0.73992905996314351</v>
      </c>
      <c r="O32" s="25">
        <v>1.02</v>
      </c>
    </row>
    <row r="33" spans="1:15" x14ac:dyDescent="0.3">
      <c r="A33" s="17" t="s">
        <v>79</v>
      </c>
      <c r="B33" s="25">
        <f>B11/B8</f>
        <v>0.26767858907882475</v>
      </c>
      <c r="C33" s="25">
        <f>C11/C8</f>
        <v>0.26808749298934381</v>
      </c>
      <c r="D33" s="25">
        <f>D11/D8</f>
        <v>0.47761159366435968</v>
      </c>
      <c r="E33" s="25">
        <v>0.5</v>
      </c>
      <c r="F33" s="104"/>
      <c r="G33" s="25">
        <f>G11/G8</f>
        <v>0.42558095533823942</v>
      </c>
      <c r="H33" s="25">
        <f>H11/H8</f>
        <v>0.57551220273789838</v>
      </c>
      <c r="I33" s="25">
        <f>I11/I8</f>
        <v>0.6301108220671896</v>
      </c>
      <c r="J33" s="25">
        <v>0.64</v>
      </c>
      <c r="K33" s="104"/>
      <c r="L33" s="25">
        <f>L11/L8</f>
        <v>0.63592381067048842</v>
      </c>
      <c r="M33" s="25">
        <f>M11/M8</f>
        <v>0.67027201883662901</v>
      </c>
      <c r="N33" s="25">
        <f>N11/N8</f>
        <v>0.72974820599819312</v>
      </c>
      <c r="O33" s="25">
        <v>0.75</v>
      </c>
    </row>
    <row r="34" spans="1:15" x14ac:dyDescent="0.3">
      <c r="A34" s="17" t="s">
        <v>80</v>
      </c>
      <c r="B34" s="25">
        <f>B12/(B6+B7)</f>
        <v>1.3864057047489</v>
      </c>
      <c r="C34" s="25">
        <f>C12/(C6+C7)</f>
        <v>1.3636363636363635</v>
      </c>
      <c r="D34" s="25">
        <f>D12/(D6+D7)</f>
        <v>1.2589835441620956</v>
      </c>
      <c r="E34" s="25">
        <v>1.4</v>
      </c>
      <c r="F34" s="104"/>
      <c r="G34" s="25">
        <f>G12/(G6+G7)</f>
        <v>1.5229699868368543</v>
      </c>
      <c r="H34" s="25">
        <f>H12/(H6+H7)</f>
        <v>0.98742096835432591</v>
      </c>
      <c r="I34" s="25">
        <f>I12/(I6+I7)</f>
        <v>1.0838386171584762</v>
      </c>
      <c r="J34" s="25">
        <v>1.05</v>
      </c>
      <c r="K34" s="104"/>
      <c r="L34" s="25">
        <f>L12/(L6+L7)</f>
        <v>0.79096020098181086</v>
      </c>
      <c r="M34" s="25">
        <f>M12/(M6+M7)</f>
        <v>0.59209845465029443</v>
      </c>
      <c r="N34" s="25">
        <f>N12/(N6+N7)</f>
        <v>0.67724037113989255</v>
      </c>
      <c r="O34" s="25">
        <v>0.66</v>
      </c>
    </row>
    <row r="35" spans="1:15" x14ac:dyDescent="0.3">
      <c r="A35" s="17" t="s">
        <v>81</v>
      </c>
      <c r="B35" s="25">
        <f>B12/B8</f>
        <v>0.73231873953149174</v>
      </c>
      <c r="C35" s="25">
        <f>C12/C8</f>
        <v>0.73191250701065624</v>
      </c>
      <c r="D35" s="25">
        <f>D12/D8</f>
        <v>0.52238840633564032</v>
      </c>
      <c r="E35" s="25">
        <v>0.5</v>
      </c>
      <c r="F35" s="104"/>
      <c r="G35" s="25">
        <f>G12/G8</f>
        <v>0.57441904466176064</v>
      </c>
      <c r="H35" s="25">
        <f>H12/H8</f>
        <v>0.42448779726210162</v>
      </c>
      <c r="I35" s="25">
        <f>I12/I8</f>
        <v>0.36988753563780169</v>
      </c>
      <c r="J35" s="25">
        <v>0.36</v>
      </c>
      <c r="K35" s="104"/>
      <c r="L35" s="25">
        <f>L12/L8</f>
        <v>0.36407618932951163</v>
      </c>
      <c r="M35" s="25">
        <f>M12/M8</f>
        <v>0.32972798116337099</v>
      </c>
      <c r="N35" s="25">
        <f>N12/N8</f>
        <v>0.27025179400180688</v>
      </c>
      <c r="O35" s="25">
        <v>0.25</v>
      </c>
    </row>
    <row r="36" spans="1:15" ht="32.25" customHeight="1" x14ac:dyDescent="0.3">
      <c r="A36" s="21" t="s">
        <v>82</v>
      </c>
      <c r="B36" s="136" t="s">
        <v>91</v>
      </c>
      <c r="C36" s="137"/>
      <c r="D36" s="137"/>
      <c r="E36" s="82"/>
      <c r="F36" s="85"/>
      <c r="G36" s="136" t="s">
        <v>91</v>
      </c>
      <c r="H36" s="137"/>
      <c r="I36" s="137"/>
      <c r="J36" s="82"/>
      <c r="K36" s="103"/>
      <c r="L36" s="136" t="s">
        <v>91</v>
      </c>
      <c r="M36" s="137"/>
      <c r="N36" s="137"/>
      <c r="O36" s="82"/>
    </row>
    <row r="37" spans="1:15" ht="19.5" customHeight="1" x14ac:dyDescent="0.3">
      <c r="A37" s="17" t="s">
        <v>84</v>
      </c>
      <c r="B37" s="83">
        <f>B22/B12*100</f>
        <v>10.213982942648485</v>
      </c>
      <c r="C37" s="83">
        <f>C22/C12*100</f>
        <v>4.8888888888888893</v>
      </c>
      <c r="D37" s="83">
        <f>D22/D12*100</f>
        <v>10.874494287111546</v>
      </c>
      <c r="E37" s="83">
        <v>41.2</v>
      </c>
      <c r="F37" s="85"/>
      <c r="G37" s="83">
        <f>G22/G12*100</f>
        <v>24.421361477866078</v>
      </c>
      <c r="H37" s="83">
        <f>H22/H12*100</f>
        <v>12.315472707514838</v>
      </c>
      <c r="I37" s="83">
        <f>I22/I12*100</f>
        <v>17.62940335485246</v>
      </c>
      <c r="J37" s="83">
        <v>13.7</v>
      </c>
      <c r="K37" s="85"/>
      <c r="L37" s="83">
        <f>L22/L12*100</f>
        <v>12.390518282179849</v>
      </c>
      <c r="M37" s="83">
        <f>M22/M12*100</f>
        <v>11.688667913194008</v>
      </c>
      <c r="N37" s="83">
        <f>N22/N12*100</f>
        <v>11.786571906365401</v>
      </c>
      <c r="O37" s="83">
        <v>7.9</v>
      </c>
    </row>
    <row r="38" spans="1:15" x14ac:dyDescent="0.3">
      <c r="A38" s="17" t="s">
        <v>85</v>
      </c>
      <c r="B38" s="83">
        <f>B22/B8*100</f>
        <v>7.4798911141564961</v>
      </c>
      <c r="C38" s="83">
        <f>C22/C8*100</f>
        <v>3.5782389231632079</v>
      </c>
      <c r="D38" s="83">
        <f>D22/D8*100</f>
        <v>5.6807097403502249</v>
      </c>
      <c r="E38" s="83">
        <v>20.399999999999999</v>
      </c>
      <c r="F38" s="85"/>
      <c r="G38" s="83">
        <f>G22/G8*100</f>
        <v>14.028095129455357</v>
      </c>
      <c r="H38" s="83">
        <f>H22/H8*100</f>
        <v>5.2277678818545041</v>
      </c>
      <c r="I38" s="83">
        <f>I22/I8*100</f>
        <v>6.5208965616911696</v>
      </c>
      <c r="J38" s="83">
        <v>4.9000000000000004</v>
      </c>
      <c r="K38" s="85"/>
      <c r="L38" s="83">
        <f>L22/L8*100</f>
        <v>4.5110926799936859</v>
      </c>
      <c r="M38" s="83">
        <f>M22/M8*100</f>
        <v>3.8540808735065326</v>
      </c>
      <c r="N38" s="83">
        <f>N22/N8*100</f>
        <v>3.1853422028265466</v>
      </c>
      <c r="O38" s="83">
        <v>2</v>
      </c>
    </row>
    <row r="39" spans="1:15" x14ac:dyDescent="0.3">
      <c r="A39" s="16" t="s">
        <v>86</v>
      </c>
      <c r="B39" s="85">
        <f>B22/B20*100</f>
        <v>2.0245842371655822</v>
      </c>
      <c r="C39" s="85">
        <f>C22/C20*100</f>
        <v>0.83767708729960733</v>
      </c>
      <c r="D39" s="85">
        <f>D22/D20*100</f>
        <v>1.3994896382839945</v>
      </c>
      <c r="E39" s="85">
        <v>4.4000000000000004</v>
      </c>
      <c r="F39" s="85"/>
      <c r="G39" s="85">
        <f>G22/G20*100</f>
        <v>3.6465092135997925</v>
      </c>
      <c r="H39" s="85">
        <f>H22/H20*100</f>
        <v>1.354474648073783</v>
      </c>
      <c r="I39" s="85">
        <f>I22/I20*100</f>
        <v>1.6253054150513284</v>
      </c>
      <c r="J39" s="85">
        <v>0.8</v>
      </c>
      <c r="K39" s="85"/>
      <c r="L39" s="85">
        <f>L22/L20*100</f>
        <v>1.0128189758140071</v>
      </c>
      <c r="M39" s="85">
        <f>M22/M20*100</f>
        <v>1.1523758896264198</v>
      </c>
      <c r="N39" s="85">
        <f>N22/N20*100</f>
        <v>0.87011978987012062</v>
      </c>
      <c r="O39" s="85">
        <v>0.6</v>
      </c>
    </row>
    <row r="40" spans="1:15" ht="37.5" customHeight="1" thickBot="1" x14ac:dyDescent="0.35">
      <c r="A40" s="15" t="s">
        <v>42</v>
      </c>
      <c r="B40" s="73">
        <v>28</v>
      </c>
      <c r="C40" s="73">
        <v>22</v>
      </c>
      <c r="D40" s="73">
        <v>30</v>
      </c>
      <c r="E40" s="73">
        <v>27</v>
      </c>
      <c r="F40" s="73"/>
      <c r="G40" s="73">
        <v>35</v>
      </c>
      <c r="H40" s="73">
        <v>34</v>
      </c>
      <c r="I40" s="73">
        <v>38</v>
      </c>
      <c r="J40" s="73">
        <v>40</v>
      </c>
      <c r="K40" s="73"/>
      <c r="L40" s="73">
        <v>25</v>
      </c>
      <c r="M40" s="73">
        <v>24</v>
      </c>
      <c r="N40" s="73">
        <v>26</v>
      </c>
      <c r="O40" s="73">
        <v>22</v>
      </c>
    </row>
  </sheetData>
  <mergeCells count="9">
    <mergeCell ref="B36:D36"/>
    <mergeCell ref="G36:I36"/>
    <mergeCell ref="L36:N36"/>
    <mergeCell ref="B4:D4"/>
    <mergeCell ref="G4:I4"/>
    <mergeCell ref="L4:N4"/>
    <mergeCell ref="B29:D29"/>
    <mergeCell ref="G29:I29"/>
    <mergeCell ref="L29:N29"/>
  </mergeCells>
  <pageMargins left="0.25" right="0.25" top="0.75" bottom="0.75" header="0.3" footer="0.3"/>
  <pageSetup orientation="landscape" r:id="rId1"/>
  <headerFooter alignWithMargins="0"/>
  <rowBreaks count="1" manualBreakCount="1">
    <brk id="25" max="16383"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XFD1048576"/>
    </sheetView>
  </sheetViews>
  <sheetFormatPr defaultRowHeight="15.6" x14ac:dyDescent="0.3"/>
  <cols>
    <col min="1" max="1" width="46.44140625" style="44" customWidth="1"/>
    <col min="2" max="2" width="14.109375" style="34" customWidth="1"/>
    <col min="3" max="4" width="14.109375" style="60" customWidth="1"/>
    <col min="5" max="6" width="14.109375" style="44" customWidth="1"/>
    <col min="7" max="256" width="9.109375" style="51"/>
    <col min="257" max="257" width="46.44140625" style="51" customWidth="1"/>
    <col min="258" max="262" width="14.109375" style="51" customWidth="1"/>
    <col min="263" max="512" width="9.109375" style="51"/>
    <col min="513" max="513" width="46.44140625" style="51" customWidth="1"/>
    <col min="514" max="518" width="14.109375" style="51" customWidth="1"/>
    <col min="519" max="768" width="9.109375" style="51"/>
    <col min="769" max="769" width="46.44140625" style="51" customWidth="1"/>
    <col min="770" max="774" width="14.109375" style="51" customWidth="1"/>
    <col min="775" max="1024" width="9.109375" style="51"/>
    <col min="1025" max="1025" width="46.44140625" style="51" customWidth="1"/>
    <col min="1026" max="1030" width="14.109375" style="51" customWidth="1"/>
    <col min="1031" max="1280" width="9.109375" style="51"/>
    <col min="1281" max="1281" width="46.44140625" style="51" customWidth="1"/>
    <col min="1282" max="1286" width="14.109375" style="51" customWidth="1"/>
    <col min="1287" max="1536" width="9.109375" style="51"/>
    <col min="1537" max="1537" width="46.44140625" style="51" customWidth="1"/>
    <col min="1538" max="1542" width="14.109375" style="51" customWidth="1"/>
    <col min="1543" max="1792" width="9.109375" style="51"/>
    <col min="1793" max="1793" width="46.44140625" style="51" customWidth="1"/>
    <col min="1794" max="1798" width="14.109375" style="51" customWidth="1"/>
    <col min="1799" max="2048" width="9.109375" style="51"/>
    <col min="2049" max="2049" width="46.44140625" style="51" customWidth="1"/>
    <col min="2050" max="2054" width="14.109375" style="51" customWidth="1"/>
    <col min="2055" max="2304" width="9.109375" style="51"/>
    <col min="2305" max="2305" width="46.44140625" style="51" customWidth="1"/>
    <col min="2306" max="2310" width="14.109375" style="51" customWidth="1"/>
    <col min="2311" max="2560" width="9.109375" style="51"/>
    <col min="2561" max="2561" width="46.44140625" style="51" customWidth="1"/>
    <col min="2562" max="2566" width="14.109375" style="51" customWidth="1"/>
    <col min="2567" max="2816" width="9.109375" style="51"/>
    <col min="2817" max="2817" width="46.44140625" style="51" customWidth="1"/>
    <col min="2818" max="2822" width="14.109375" style="51" customWidth="1"/>
    <col min="2823" max="3072" width="9.109375" style="51"/>
    <col min="3073" max="3073" width="46.44140625" style="51" customWidth="1"/>
    <col min="3074" max="3078" width="14.109375" style="51" customWidth="1"/>
    <col min="3079" max="3328" width="9.109375" style="51"/>
    <col min="3329" max="3329" width="46.44140625" style="51" customWidth="1"/>
    <col min="3330" max="3334" width="14.109375" style="51" customWidth="1"/>
    <col min="3335" max="3584" width="9.109375" style="51"/>
    <col min="3585" max="3585" width="46.44140625" style="51" customWidth="1"/>
    <col min="3586" max="3590" width="14.109375" style="51" customWidth="1"/>
    <col min="3591" max="3840" width="9.109375" style="51"/>
    <col min="3841" max="3841" width="46.44140625" style="51" customWidth="1"/>
    <col min="3842" max="3846" width="14.109375" style="51" customWidth="1"/>
    <col min="3847" max="4096" width="9.109375" style="51"/>
    <col min="4097" max="4097" width="46.44140625" style="51" customWidth="1"/>
    <col min="4098" max="4102" width="14.109375" style="51" customWidth="1"/>
    <col min="4103" max="4352" width="9.109375" style="51"/>
    <col min="4353" max="4353" width="46.44140625" style="51" customWidth="1"/>
    <col min="4354" max="4358" width="14.109375" style="51" customWidth="1"/>
    <col min="4359" max="4608" width="9.109375" style="51"/>
    <col min="4609" max="4609" width="46.44140625" style="51" customWidth="1"/>
    <col min="4610" max="4614" width="14.109375" style="51" customWidth="1"/>
    <col min="4615" max="4864" width="9.109375" style="51"/>
    <col min="4865" max="4865" width="46.44140625" style="51" customWidth="1"/>
    <col min="4866" max="4870" width="14.109375" style="51" customWidth="1"/>
    <col min="4871" max="5120" width="9.109375" style="51"/>
    <col min="5121" max="5121" width="46.44140625" style="51" customWidth="1"/>
    <col min="5122" max="5126" width="14.109375" style="51" customWidth="1"/>
    <col min="5127" max="5376" width="9.109375" style="51"/>
    <col min="5377" max="5377" width="46.44140625" style="51" customWidth="1"/>
    <col min="5378" max="5382" width="14.109375" style="51" customWidth="1"/>
    <col min="5383" max="5632" width="9.109375" style="51"/>
    <col min="5633" max="5633" width="46.44140625" style="51" customWidth="1"/>
    <col min="5634" max="5638" width="14.109375" style="51" customWidth="1"/>
    <col min="5639" max="5888" width="9.109375" style="51"/>
    <col min="5889" max="5889" width="46.44140625" style="51" customWidth="1"/>
    <col min="5890" max="5894" width="14.109375" style="51" customWidth="1"/>
    <col min="5895" max="6144" width="9.109375" style="51"/>
    <col min="6145" max="6145" width="46.44140625" style="51" customWidth="1"/>
    <col min="6146" max="6150" width="14.109375" style="51" customWidth="1"/>
    <col min="6151" max="6400" width="9.109375" style="51"/>
    <col min="6401" max="6401" width="46.44140625" style="51" customWidth="1"/>
    <col min="6402" max="6406" width="14.109375" style="51" customWidth="1"/>
    <col min="6407" max="6656" width="9.109375" style="51"/>
    <col min="6657" max="6657" width="46.44140625" style="51" customWidth="1"/>
    <col min="6658" max="6662" width="14.109375" style="51" customWidth="1"/>
    <col min="6663" max="6912" width="9.109375" style="51"/>
    <col min="6913" max="6913" width="46.44140625" style="51" customWidth="1"/>
    <col min="6914" max="6918" width="14.109375" style="51" customWidth="1"/>
    <col min="6919" max="7168" width="9.109375" style="51"/>
    <col min="7169" max="7169" width="46.44140625" style="51" customWidth="1"/>
    <col min="7170" max="7174" width="14.109375" style="51" customWidth="1"/>
    <col min="7175" max="7424" width="9.109375" style="51"/>
    <col min="7425" max="7425" width="46.44140625" style="51" customWidth="1"/>
    <col min="7426" max="7430" width="14.109375" style="51" customWidth="1"/>
    <col min="7431" max="7680" width="9.109375" style="51"/>
    <col min="7681" max="7681" width="46.44140625" style="51" customWidth="1"/>
    <col min="7682" max="7686" width="14.109375" style="51" customWidth="1"/>
    <col min="7687" max="7936" width="9.109375" style="51"/>
    <col min="7937" max="7937" width="46.44140625" style="51" customWidth="1"/>
    <col min="7938" max="7942" width="14.109375" style="51" customWidth="1"/>
    <col min="7943" max="8192" width="9.109375" style="51"/>
    <col min="8193" max="8193" width="46.44140625" style="51" customWidth="1"/>
    <col min="8194" max="8198" width="14.109375" style="51" customWidth="1"/>
    <col min="8199" max="8448" width="9.109375" style="51"/>
    <col min="8449" max="8449" width="46.44140625" style="51" customWidth="1"/>
    <col min="8450" max="8454" width="14.109375" style="51" customWidth="1"/>
    <col min="8455" max="8704" width="9.109375" style="51"/>
    <col min="8705" max="8705" width="46.44140625" style="51" customWidth="1"/>
    <col min="8706" max="8710" width="14.109375" style="51" customWidth="1"/>
    <col min="8711" max="8960" width="9.109375" style="51"/>
    <col min="8961" max="8961" width="46.44140625" style="51" customWidth="1"/>
    <col min="8962" max="8966" width="14.109375" style="51" customWidth="1"/>
    <col min="8967" max="9216" width="9.109375" style="51"/>
    <col min="9217" max="9217" width="46.44140625" style="51" customWidth="1"/>
    <col min="9218" max="9222" width="14.109375" style="51" customWidth="1"/>
    <col min="9223" max="9472" width="9.109375" style="51"/>
    <col min="9473" max="9473" width="46.44140625" style="51" customWidth="1"/>
    <col min="9474" max="9478" width="14.109375" style="51" customWidth="1"/>
    <col min="9479" max="9728" width="9.109375" style="51"/>
    <col min="9729" max="9729" width="46.44140625" style="51" customWidth="1"/>
    <col min="9730" max="9734" width="14.109375" style="51" customWidth="1"/>
    <col min="9735" max="9984" width="9.109375" style="51"/>
    <col min="9985" max="9985" width="46.44140625" style="51" customWidth="1"/>
    <col min="9986" max="9990" width="14.109375" style="51" customWidth="1"/>
    <col min="9991" max="10240" width="9.109375" style="51"/>
    <col min="10241" max="10241" width="46.44140625" style="51" customWidth="1"/>
    <col min="10242" max="10246" width="14.109375" style="51" customWidth="1"/>
    <col min="10247" max="10496" width="9.109375" style="51"/>
    <col min="10497" max="10497" width="46.44140625" style="51" customWidth="1"/>
    <col min="10498" max="10502" width="14.109375" style="51" customWidth="1"/>
    <col min="10503" max="10752" width="9.109375" style="51"/>
    <col min="10753" max="10753" width="46.44140625" style="51" customWidth="1"/>
    <col min="10754" max="10758" width="14.109375" style="51" customWidth="1"/>
    <col min="10759" max="11008" width="9.109375" style="51"/>
    <col min="11009" max="11009" width="46.44140625" style="51" customWidth="1"/>
    <col min="11010" max="11014" width="14.109375" style="51" customWidth="1"/>
    <col min="11015" max="11264" width="9.109375" style="51"/>
    <col min="11265" max="11265" width="46.44140625" style="51" customWidth="1"/>
    <col min="11266" max="11270" width="14.109375" style="51" customWidth="1"/>
    <col min="11271" max="11520" width="9.109375" style="51"/>
    <col min="11521" max="11521" width="46.44140625" style="51" customWidth="1"/>
    <col min="11522" max="11526" width="14.109375" style="51" customWidth="1"/>
    <col min="11527" max="11776" width="9.109375" style="51"/>
    <col min="11777" max="11777" width="46.44140625" style="51" customWidth="1"/>
    <col min="11778" max="11782" width="14.109375" style="51" customWidth="1"/>
    <col min="11783" max="12032" width="9.109375" style="51"/>
    <col min="12033" max="12033" width="46.44140625" style="51" customWidth="1"/>
    <col min="12034" max="12038" width="14.109375" style="51" customWidth="1"/>
    <col min="12039" max="12288" width="9.109375" style="51"/>
    <col min="12289" max="12289" width="46.44140625" style="51" customWidth="1"/>
    <col min="12290" max="12294" width="14.109375" style="51" customWidth="1"/>
    <col min="12295" max="12544" width="9.109375" style="51"/>
    <col min="12545" max="12545" width="46.44140625" style="51" customWidth="1"/>
    <col min="12546" max="12550" width="14.109375" style="51" customWidth="1"/>
    <col min="12551" max="12800" width="9.109375" style="51"/>
    <col min="12801" max="12801" width="46.44140625" style="51" customWidth="1"/>
    <col min="12802" max="12806" width="14.109375" style="51" customWidth="1"/>
    <col min="12807" max="13056" width="9.109375" style="51"/>
    <col min="13057" max="13057" width="46.44140625" style="51" customWidth="1"/>
    <col min="13058" max="13062" width="14.109375" style="51" customWidth="1"/>
    <col min="13063" max="13312" width="9.109375" style="51"/>
    <col min="13313" max="13313" width="46.44140625" style="51" customWidth="1"/>
    <col min="13314" max="13318" width="14.109375" style="51" customWidth="1"/>
    <col min="13319" max="13568" width="9.109375" style="51"/>
    <col min="13569" max="13569" width="46.44140625" style="51" customWidth="1"/>
    <col min="13570" max="13574" width="14.109375" style="51" customWidth="1"/>
    <col min="13575" max="13824" width="9.109375" style="51"/>
    <col min="13825" max="13825" width="46.44140625" style="51" customWidth="1"/>
    <col min="13826" max="13830" width="14.109375" style="51" customWidth="1"/>
    <col min="13831" max="14080" width="9.109375" style="51"/>
    <col min="14081" max="14081" width="46.44140625" style="51" customWidth="1"/>
    <col min="14082" max="14086" width="14.109375" style="51" customWidth="1"/>
    <col min="14087" max="14336" width="9.109375" style="51"/>
    <col min="14337" max="14337" width="46.44140625" style="51" customWidth="1"/>
    <col min="14338" max="14342" width="14.109375" style="51" customWidth="1"/>
    <col min="14343" max="14592" width="9.109375" style="51"/>
    <col min="14593" max="14593" width="46.44140625" style="51" customWidth="1"/>
    <col min="14594" max="14598" width="14.109375" style="51" customWidth="1"/>
    <col min="14599" max="14848" width="9.109375" style="51"/>
    <col min="14849" max="14849" width="46.44140625" style="51" customWidth="1"/>
    <col min="14850" max="14854" width="14.109375" style="51" customWidth="1"/>
    <col min="14855" max="15104" width="9.109375" style="51"/>
    <col min="15105" max="15105" width="46.44140625" style="51" customWidth="1"/>
    <col min="15106" max="15110" width="14.109375" style="51" customWidth="1"/>
    <col min="15111" max="15360" width="9.109375" style="51"/>
    <col min="15361" max="15361" width="46.44140625" style="51" customWidth="1"/>
    <col min="15362" max="15366" width="14.109375" style="51" customWidth="1"/>
    <col min="15367" max="15616" width="9.109375" style="51"/>
    <col min="15617" max="15617" width="46.44140625" style="51" customWidth="1"/>
    <col min="15618" max="15622" width="14.109375" style="51" customWidth="1"/>
    <col min="15623" max="15872" width="9.109375" style="51"/>
    <col min="15873" max="15873" width="46.44140625" style="51" customWidth="1"/>
    <col min="15874" max="15878" width="14.109375" style="51" customWidth="1"/>
    <col min="15879" max="16128" width="9.109375" style="51"/>
    <col min="16129" max="16129" width="46.44140625" style="51" customWidth="1"/>
    <col min="16130" max="16134" width="14.109375" style="51" customWidth="1"/>
    <col min="16135" max="16384" width="9.109375" style="51"/>
  </cols>
  <sheetData>
    <row r="1" spans="1:6" ht="31.5" customHeight="1" thickBot="1" x14ac:dyDescent="0.35">
      <c r="A1" s="42" t="s">
        <v>22</v>
      </c>
      <c r="B1" s="13"/>
      <c r="C1" s="42"/>
      <c r="D1" s="42"/>
      <c r="E1" s="42"/>
      <c r="F1" s="42"/>
    </row>
    <row r="2" spans="1:6" x14ac:dyDescent="0.3">
      <c r="A2" s="45"/>
      <c r="B2" s="46">
        <v>1980</v>
      </c>
      <c r="C2" s="46">
        <v>1997</v>
      </c>
      <c r="D2" s="46">
        <v>2002</v>
      </c>
      <c r="E2" s="46">
        <v>2007</v>
      </c>
      <c r="F2" s="46">
        <v>2012</v>
      </c>
    </row>
    <row r="3" spans="1:6" x14ac:dyDescent="0.3">
      <c r="B3" s="131" t="s">
        <v>92</v>
      </c>
      <c r="C3" s="132"/>
      <c r="D3" s="132"/>
      <c r="E3" s="132"/>
      <c r="F3" s="51"/>
    </row>
    <row r="4" spans="1:6" x14ac:dyDescent="0.3">
      <c r="A4" s="69" t="s">
        <v>52</v>
      </c>
      <c r="B4" s="51"/>
    </row>
    <row r="5" spans="1:6" x14ac:dyDescent="0.3">
      <c r="A5" s="44" t="s">
        <v>53</v>
      </c>
      <c r="B5" s="49">
        <f>120806+71450</f>
        <v>192256</v>
      </c>
      <c r="C5" s="60">
        <v>178222</v>
      </c>
      <c r="D5" s="60">
        <v>242467</v>
      </c>
      <c r="E5" s="60">
        <v>408550</v>
      </c>
      <c r="F5" s="60">
        <v>201040</v>
      </c>
    </row>
    <row r="6" spans="1:6" ht="17.399999999999999" x14ac:dyDescent="0.3">
      <c r="A6" s="67" t="s">
        <v>128</v>
      </c>
      <c r="B6" s="49">
        <f>13697+10765+35266+17022</f>
        <v>76750</v>
      </c>
      <c r="C6" s="60">
        <v>33014</v>
      </c>
      <c r="D6" s="60">
        <v>64153</v>
      </c>
      <c r="E6" s="60">
        <f>63764+935+1</f>
        <v>64700</v>
      </c>
      <c r="F6" s="60">
        <v>130279</v>
      </c>
    </row>
    <row r="7" spans="1:6" ht="17.399999999999999" x14ac:dyDescent="0.45">
      <c r="A7" s="44" t="s">
        <v>54</v>
      </c>
      <c r="B7" s="54"/>
      <c r="C7" s="62">
        <v>25055</v>
      </c>
      <c r="D7" s="62">
        <v>18402</v>
      </c>
      <c r="E7" s="62">
        <v>28288</v>
      </c>
      <c r="F7" s="62">
        <v>43957</v>
      </c>
    </row>
    <row r="8" spans="1:6" x14ac:dyDescent="0.3">
      <c r="A8" s="44" t="s">
        <v>58</v>
      </c>
      <c r="B8" s="60">
        <f>SUM(B5:B7)</f>
        <v>269006</v>
      </c>
      <c r="C8" s="60">
        <f>SUM(C5:C7)</f>
        <v>236291</v>
      </c>
      <c r="D8" s="60">
        <f>SUM(D5:D7)</f>
        <v>325022</v>
      </c>
      <c r="E8" s="60">
        <f>SUM(E5:E7)</f>
        <v>501538</v>
      </c>
      <c r="F8" s="60">
        <v>375275</v>
      </c>
    </row>
    <row r="9" spans="1:6" ht="30.75" customHeight="1" x14ac:dyDescent="0.3">
      <c r="A9" s="44" t="s">
        <v>59</v>
      </c>
      <c r="B9" s="49">
        <f>112801+61505</f>
        <v>174306</v>
      </c>
      <c r="C9" s="60">
        <v>156075</v>
      </c>
      <c r="D9" s="60">
        <v>220658</v>
      </c>
      <c r="E9" s="60">
        <v>361499</v>
      </c>
      <c r="F9" s="60">
        <v>172291</v>
      </c>
    </row>
    <row r="10" spans="1:6" ht="17.399999999999999" x14ac:dyDescent="0.45">
      <c r="A10" s="44" t="s">
        <v>60</v>
      </c>
      <c r="B10" s="54">
        <f>8107+3381</f>
        <v>11488</v>
      </c>
      <c r="C10" s="62">
        <v>7231</v>
      </c>
      <c r="D10" s="62">
        <v>19366</v>
      </c>
      <c r="E10" s="62">
        <f>17814+55</f>
        <v>17869</v>
      </c>
      <c r="F10" s="62">
        <v>70197</v>
      </c>
    </row>
    <row r="11" spans="1:6" ht="17.399999999999999" x14ac:dyDescent="0.45">
      <c r="A11" s="44" t="s">
        <v>61</v>
      </c>
      <c r="B11" s="105">
        <f>SUM(B9:B10)</f>
        <v>185794</v>
      </c>
      <c r="C11" s="105">
        <f>SUM(C9:C10)</f>
        <v>163306</v>
      </c>
      <c r="D11" s="105">
        <f>SUM(D9:D10)</f>
        <v>240024</v>
      </c>
      <c r="E11" s="105">
        <f>SUM(E9:E10)</f>
        <v>379368</v>
      </c>
      <c r="F11" s="105">
        <v>242488</v>
      </c>
    </row>
    <row r="12" spans="1:6" ht="30" customHeight="1" x14ac:dyDescent="0.3">
      <c r="A12" s="44" t="s">
        <v>62</v>
      </c>
      <c r="B12" s="106">
        <f>48861+34351</f>
        <v>83212</v>
      </c>
      <c r="C12" s="65">
        <v>72985</v>
      </c>
      <c r="D12" s="65">
        <v>84998</v>
      </c>
      <c r="E12" s="65">
        <v>122170</v>
      </c>
      <c r="F12" s="65">
        <v>132787</v>
      </c>
    </row>
    <row r="13" spans="1:6" ht="27" customHeight="1" x14ac:dyDescent="0.45">
      <c r="A13" s="44" t="s">
        <v>63</v>
      </c>
      <c r="B13" s="105">
        <f>B12+B11</f>
        <v>269006</v>
      </c>
      <c r="C13" s="105">
        <f>C12+C11</f>
        <v>236291</v>
      </c>
      <c r="D13" s="105">
        <f>D12+D11</f>
        <v>325022</v>
      </c>
      <c r="E13" s="105">
        <f>E12+E11</f>
        <v>501538</v>
      </c>
      <c r="F13" s="105">
        <v>375275.48759000003</v>
      </c>
    </row>
    <row r="14" spans="1:6" x14ac:dyDescent="0.3">
      <c r="B14" s="49"/>
      <c r="E14" s="60"/>
      <c r="F14" s="60"/>
    </row>
    <row r="15" spans="1:6" x14ac:dyDescent="0.3">
      <c r="A15" s="69" t="s">
        <v>64</v>
      </c>
      <c r="B15" s="49"/>
      <c r="E15" s="60"/>
      <c r="F15" s="60"/>
    </row>
    <row r="16" spans="1:6" x14ac:dyDescent="0.3">
      <c r="A16" s="44" t="s">
        <v>65</v>
      </c>
      <c r="B16" s="49">
        <f>1823840+882777</f>
        <v>2706617</v>
      </c>
      <c r="C16" s="60">
        <v>3137700</v>
      </c>
      <c r="D16" s="60">
        <v>4347010</v>
      </c>
      <c r="E16" s="60">
        <v>5612560</v>
      </c>
      <c r="F16" s="60">
        <v>3366543</v>
      </c>
    </row>
    <row r="17" spans="1:6" x14ac:dyDescent="0.3">
      <c r="A17" s="44" t="s">
        <v>66</v>
      </c>
      <c r="B17" s="49">
        <f>26004+37525</f>
        <v>63529</v>
      </c>
      <c r="C17" s="60">
        <f>64800+322700</f>
        <v>387500</v>
      </c>
      <c r="D17" s="60">
        <f>D20-(D16+D18+D19)</f>
        <v>229490</v>
      </c>
      <c r="E17" s="60">
        <v>240741</v>
      </c>
      <c r="F17" s="60">
        <v>178041</v>
      </c>
    </row>
    <row r="18" spans="1:6" x14ac:dyDescent="0.3">
      <c r="A18" s="44" t="s">
        <v>67</v>
      </c>
      <c r="B18" s="49">
        <f>31482+2138+28642+665</f>
        <v>62927</v>
      </c>
      <c r="C18" s="60">
        <v>56300</v>
      </c>
      <c r="D18" s="60">
        <v>76631</v>
      </c>
      <c r="E18" s="60">
        <f>24200+11</f>
        <v>24211</v>
      </c>
      <c r="F18" s="60">
        <v>10448</v>
      </c>
    </row>
    <row r="19" spans="1:6" ht="17.399999999999999" x14ac:dyDescent="0.45">
      <c r="A19" s="44" t="s">
        <v>68</v>
      </c>
      <c r="B19" s="54" t="s">
        <v>87</v>
      </c>
      <c r="C19" s="62">
        <v>2200</v>
      </c>
      <c r="D19" s="62">
        <v>1983</v>
      </c>
      <c r="E19" s="62">
        <v>2460</v>
      </c>
      <c r="F19" s="62">
        <v>6115</v>
      </c>
    </row>
    <row r="20" spans="1:6" ht="21.75" customHeight="1" x14ac:dyDescent="0.3">
      <c r="A20" s="44" t="s">
        <v>69</v>
      </c>
      <c r="B20" s="60">
        <f>SUM(B16:B19)</f>
        <v>2833073</v>
      </c>
      <c r="C20" s="60">
        <f>SUM(C16:C19)</f>
        <v>3583700</v>
      </c>
      <c r="D20" s="60">
        <v>4655114</v>
      </c>
      <c r="E20" s="60">
        <f>SUM(E16:E19)</f>
        <v>5879972</v>
      </c>
      <c r="F20" s="60">
        <v>3561147</v>
      </c>
    </row>
    <row r="21" spans="1:6" ht="26.25" customHeight="1" x14ac:dyDescent="0.45">
      <c r="A21" s="44" t="s">
        <v>70</v>
      </c>
      <c r="B21" s="54">
        <f>1816806+49939+902807+40337</f>
        <v>2809889</v>
      </c>
      <c r="C21" s="62">
        <v>3571300</v>
      </c>
      <c r="D21" s="62">
        <f>D20-D22</f>
        <v>4640474</v>
      </c>
      <c r="E21" s="62">
        <v>5864282</v>
      </c>
      <c r="F21" s="62">
        <v>3549568</v>
      </c>
    </row>
    <row r="22" spans="1:6" ht="30.75" customHeight="1" x14ac:dyDescent="0.45">
      <c r="A22" s="45" t="s">
        <v>89</v>
      </c>
      <c r="B22" s="107">
        <f>B20-B21</f>
        <v>23184</v>
      </c>
      <c r="C22" s="107">
        <v>12400</v>
      </c>
      <c r="D22" s="107">
        <v>14640</v>
      </c>
      <c r="E22" s="107">
        <f>E20-E21</f>
        <v>15690</v>
      </c>
      <c r="F22" s="107">
        <v>11579</v>
      </c>
    </row>
    <row r="23" spans="1:6" ht="42.75" customHeight="1" x14ac:dyDescent="0.3">
      <c r="A23" s="64" t="s">
        <v>42</v>
      </c>
      <c r="B23" s="106">
        <f>70+78</f>
        <v>148</v>
      </c>
      <c r="C23" s="65">
        <v>45</v>
      </c>
      <c r="D23" s="65">
        <v>50</v>
      </c>
      <c r="E23" s="65">
        <v>60</v>
      </c>
      <c r="F23" s="65">
        <v>60</v>
      </c>
    </row>
    <row r="24" spans="1:6" ht="42" customHeight="1" x14ac:dyDescent="0.3">
      <c r="A24" s="45"/>
      <c r="B24" s="52"/>
      <c r="C24" s="61"/>
      <c r="D24" s="61"/>
      <c r="E24" s="61"/>
      <c r="F24" s="61"/>
    </row>
    <row r="25" spans="1:6" ht="16.2" thickBot="1" x14ac:dyDescent="0.35">
      <c r="A25" s="42" t="s">
        <v>23</v>
      </c>
      <c r="B25" s="13"/>
      <c r="C25" s="42"/>
      <c r="D25" s="42"/>
      <c r="E25" s="42"/>
      <c r="F25" s="42"/>
    </row>
    <row r="26" spans="1:6" x14ac:dyDescent="0.3">
      <c r="A26" s="45"/>
      <c r="B26" s="46">
        <v>1980</v>
      </c>
      <c r="C26" s="46">
        <v>1997</v>
      </c>
      <c r="D26" s="46">
        <v>2002</v>
      </c>
      <c r="E26" s="108">
        <v>2007</v>
      </c>
      <c r="F26" s="108">
        <v>2012</v>
      </c>
    </row>
    <row r="27" spans="1:6" ht="27.75" customHeight="1" x14ac:dyDescent="0.3">
      <c r="A27" s="69" t="s">
        <v>74</v>
      </c>
      <c r="B27" s="138" t="s">
        <v>75</v>
      </c>
      <c r="C27" s="132"/>
      <c r="D27" s="132"/>
      <c r="E27" s="139"/>
      <c r="F27" s="51"/>
    </row>
    <row r="28" spans="1:6" x14ac:dyDescent="0.3">
      <c r="A28" s="44" t="s">
        <v>76</v>
      </c>
      <c r="B28" s="70">
        <f>B5/B9</f>
        <v>1.1029798171032552</v>
      </c>
      <c r="C28" s="70">
        <f>C5/C9</f>
        <v>1.1418997276950185</v>
      </c>
      <c r="D28" s="70">
        <f>D5/D9</f>
        <v>1.0988362080685949</v>
      </c>
      <c r="E28" s="70">
        <f>E5/E9</f>
        <v>1.1301552701390598</v>
      </c>
      <c r="F28" s="70">
        <v>1.17</v>
      </c>
    </row>
    <row r="29" spans="1:6" x14ac:dyDescent="0.3">
      <c r="A29" s="44" t="s">
        <v>77</v>
      </c>
      <c r="B29" s="70">
        <f>B9/B8</f>
        <v>0.64796324245555859</v>
      </c>
      <c r="C29" s="70">
        <f>C9/C8</f>
        <v>0.66052029065855233</v>
      </c>
      <c r="D29" s="70">
        <f>D9/D8</f>
        <v>0.67890173588249414</v>
      </c>
      <c r="E29" s="70">
        <f>E9/E8</f>
        <v>0.72078087801921287</v>
      </c>
      <c r="F29" s="70">
        <v>0.46</v>
      </c>
    </row>
    <row r="30" spans="1:6" x14ac:dyDescent="0.3">
      <c r="A30" s="44" t="s">
        <v>78</v>
      </c>
      <c r="B30" s="70">
        <f>B10/B12</f>
        <v>0.1380570110080277</v>
      </c>
      <c r="C30" s="70">
        <f>C10/C12</f>
        <v>9.9075152428581212E-2</v>
      </c>
      <c r="D30" s="70">
        <f>D10/D12</f>
        <v>0.22784065507423704</v>
      </c>
      <c r="E30" s="70">
        <f>E10/E12</f>
        <v>0.14626340345420316</v>
      </c>
      <c r="F30" s="70">
        <v>0.53</v>
      </c>
    </row>
    <row r="31" spans="1:6" x14ac:dyDescent="0.3">
      <c r="A31" s="44" t="s">
        <v>79</v>
      </c>
      <c r="B31" s="70">
        <f>B11/B8</f>
        <v>0.6906686096220902</v>
      </c>
      <c r="C31" s="70">
        <f>C11/C8</f>
        <v>0.69112238722592056</v>
      </c>
      <c r="D31" s="70">
        <f>D11/D8</f>
        <v>0.73848539483481124</v>
      </c>
      <c r="E31" s="70">
        <f>E11/E8</f>
        <v>0.75640928503921934</v>
      </c>
      <c r="F31" s="70">
        <v>0.65</v>
      </c>
    </row>
    <row r="32" spans="1:6" x14ac:dyDescent="0.3">
      <c r="A32" s="44" t="s">
        <v>80</v>
      </c>
      <c r="B32" s="70">
        <f>B12/(B6+B7)</f>
        <v>1.0841954397394138</v>
      </c>
      <c r="C32" s="70">
        <f>C12/(C6+C7)</f>
        <v>1.2568668308391742</v>
      </c>
      <c r="D32" s="70">
        <f>D12/(D6+D7)</f>
        <v>1.0295923929501545</v>
      </c>
      <c r="E32" s="70">
        <f>E12/(E6+E7)</f>
        <v>1.3138254398417</v>
      </c>
      <c r="F32" s="70">
        <v>0.76</v>
      </c>
    </row>
    <row r="33" spans="1:6" x14ac:dyDescent="0.3">
      <c r="A33" s="44" t="s">
        <v>81</v>
      </c>
      <c r="B33" s="70">
        <f>B12/B8</f>
        <v>0.3093313903779098</v>
      </c>
      <c r="C33" s="70">
        <f>C12/C8</f>
        <v>0.30887761277407944</v>
      </c>
      <c r="D33" s="70">
        <f>D12/D8</f>
        <v>0.26151460516518882</v>
      </c>
      <c r="E33" s="70">
        <f>E12/E8</f>
        <v>0.24359071496078064</v>
      </c>
      <c r="F33" s="70">
        <v>0.35</v>
      </c>
    </row>
    <row r="34" spans="1:6" ht="28.5" customHeight="1" x14ac:dyDescent="0.3">
      <c r="A34" s="69" t="s">
        <v>82</v>
      </c>
      <c r="B34" s="136" t="s">
        <v>91</v>
      </c>
      <c r="C34" s="137"/>
      <c r="D34" s="137"/>
      <c r="E34" s="140"/>
      <c r="F34" s="51"/>
    </row>
    <row r="35" spans="1:6" x14ac:dyDescent="0.3">
      <c r="A35" s="44" t="s">
        <v>84</v>
      </c>
      <c r="B35" s="71">
        <f>B22/B12*100</f>
        <v>27.86136614911311</v>
      </c>
      <c r="C35" s="71">
        <f>C22/C12*100</f>
        <v>16.989792423100635</v>
      </c>
      <c r="D35" s="71">
        <f>D22/D12*100</f>
        <v>17.223934680816019</v>
      </c>
      <c r="E35" s="71">
        <f>E22/E12*100</f>
        <v>12.842760088401409</v>
      </c>
      <c r="F35" s="71">
        <v>8.6999999999999993</v>
      </c>
    </row>
    <row r="36" spans="1:6" x14ac:dyDescent="0.3">
      <c r="A36" s="44" t="s">
        <v>85</v>
      </c>
      <c r="B36" s="71">
        <f>B22/B8*100</f>
        <v>8.6183951287331872</v>
      </c>
      <c r="C36" s="71">
        <f>C22/C8*100</f>
        <v>5.247766525174467</v>
      </c>
      <c r="D36" s="71">
        <f>D22/D8*100</f>
        <v>4.5043104774446032</v>
      </c>
      <c r="E36" s="71">
        <f>E22/E8*100</f>
        <v>3.1283771120034776</v>
      </c>
      <c r="F36" s="71">
        <v>3.1</v>
      </c>
    </row>
    <row r="37" spans="1:6" x14ac:dyDescent="0.3">
      <c r="A37" s="45" t="s">
        <v>86</v>
      </c>
      <c r="B37" s="72">
        <f>B22/B20*100</f>
        <v>0.81833401398410843</v>
      </c>
      <c r="C37" s="72">
        <f>C22/C20*100</f>
        <v>0.34601110584033262</v>
      </c>
      <c r="D37" s="72">
        <f>D22/D20*100</f>
        <v>0.31449283519157639</v>
      </c>
      <c r="E37" s="72">
        <f>E22/E20*100</f>
        <v>0.2668380053510459</v>
      </c>
      <c r="F37" s="72">
        <v>0.3</v>
      </c>
    </row>
    <row r="38" spans="1:6" ht="42.75" customHeight="1" thickBot="1" x14ac:dyDescent="0.35">
      <c r="A38" s="42" t="s">
        <v>42</v>
      </c>
      <c r="B38" s="109">
        <f>70+78</f>
        <v>148</v>
      </c>
      <c r="C38" s="43">
        <v>45</v>
      </c>
      <c r="D38" s="43">
        <v>50</v>
      </c>
      <c r="E38" s="43">
        <v>60</v>
      </c>
      <c r="F38" s="43">
        <v>60</v>
      </c>
    </row>
    <row r="39" spans="1:6" x14ac:dyDescent="0.3">
      <c r="A39" s="34"/>
      <c r="B39" s="51"/>
    </row>
  </sheetData>
  <mergeCells count="3">
    <mergeCell ref="B3:E3"/>
    <mergeCell ref="B27:E27"/>
    <mergeCell ref="B34:E34"/>
  </mergeCells>
  <pageMargins left="0.25" right="0.16" top="0.94" bottom="0.24" header="0.24" footer="0.24"/>
  <pageSetup orientation="landscape" r:id="rId1"/>
  <headerFooter alignWithMargins="0"/>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sqref="A1:XFD1048576"/>
    </sheetView>
  </sheetViews>
  <sheetFormatPr defaultRowHeight="15.6" x14ac:dyDescent="0.3"/>
  <cols>
    <col min="1" max="1" width="49.109375" style="44" customWidth="1"/>
    <col min="2" max="3" width="14.33203125" style="60" customWidth="1"/>
    <col min="4" max="5" width="14.33203125" style="44" customWidth="1"/>
    <col min="6" max="256" width="9.109375" style="51"/>
    <col min="257" max="257" width="49.109375" style="51" customWidth="1"/>
    <col min="258" max="261" width="14.33203125" style="51" customWidth="1"/>
    <col min="262" max="512" width="9.109375" style="51"/>
    <col min="513" max="513" width="49.109375" style="51" customWidth="1"/>
    <col min="514" max="517" width="14.33203125" style="51" customWidth="1"/>
    <col min="518" max="768" width="9.109375" style="51"/>
    <col min="769" max="769" width="49.109375" style="51" customWidth="1"/>
    <col min="770" max="773" width="14.33203125" style="51" customWidth="1"/>
    <col min="774" max="1024" width="9.109375" style="51"/>
    <col min="1025" max="1025" width="49.109375" style="51" customWidth="1"/>
    <col min="1026" max="1029" width="14.33203125" style="51" customWidth="1"/>
    <col min="1030" max="1280" width="9.109375" style="51"/>
    <col min="1281" max="1281" width="49.109375" style="51" customWidth="1"/>
    <col min="1282" max="1285" width="14.33203125" style="51" customWidth="1"/>
    <col min="1286" max="1536" width="9.109375" style="51"/>
    <col min="1537" max="1537" width="49.109375" style="51" customWidth="1"/>
    <col min="1538" max="1541" width="14.33203125" style="51" customWidth="1"/>
    <col min="1542" max="1792" width="9.109375" style="51"/>
    <col min="1793" max="1793" width="49.109375" style="51" customWidth="1"/>
    <col min="1794" max="1797" width="14.33203125" style="51" customWidth="1"/>
    <col min="1798" max="2048" width="9.109375" style="51"/>
    <col min="2049" max="2049" width="49.109375" style="51" customWidth="1"/>
    <col min="2050" max="2053" width="14.33203125" style="51" customWidth="1"/>
    <col min="2054" max="2304" width="9.109375" style="51"/>
    <col min="2305" max="2305" width="49.109375" style="51" customWidth="1"/>
    <col min="2306" max="2309" width="14.33203125" style="51" customWidth="1"/>
    <col min="2310" max="2560" width="9.109375" style="51"/>
    <col min="2561" max="2561" width="49.109375" style="51" customWidth="1"/>
    <col min="2562" max="2565" width="14.33203125" style="51" customWidth="1"/>
    <col min="2566" max="2816" width="9.109375" style="51"/>
    <col min="2817" max="2817" width="49.109375" style="51" customWidth="1"/>
    <col min="2818" max="2821" width="14.33203125" style="51" customWidth="1"/>
    <col min="2822" max="3072" width="9.109375" style="51"/>
    <col min="3073" max="3073" width="49.109375" style="51" customWidth="1"/>
    <col min="3074" max="3077" width="14.33203125" style="51" customWidth="1"/>
    <col min="3078" max="3328" width="9.109375" style="51"/>
    <col min="3329" max="3329" width="49.109375" style="51" customWidth="1"/>
    <col min="3330" max="3333" width="14.33203125" style="51" customWidth="1"/>
    <col min="3334" max="3584" width="9.109375" style="51"/>
    <col min="3585" max="3585" width="49.109375" style="51" customWidth="1"/>
    <col min="3586" max="3589" width="14.33203125" style="51" customWidth="1"/>
    <col min="3590" max="3840" width="9.109375" style="51"/>
    <col min="3841" max="3841" width="49.109375" style="51" customWidth="1"/>
    <col min="3842" max="3845" width="14.33203125" style="51" customWidth="1"/>
    <col min="3846" max="4096" width="9.109375" style="51"/>
    <col min="4097" max="4097" width="49.109375" style="51" customWidth="1"/>
    <col min="4098" max="4101" width="14.33203125" style="51" customWidth="1"/>
    <col min="4102" max="4352" width="9.109375" style="51"/>
    <col min="4353" max="4353" width="49.109375" style="51" customWidth="1"/>
    <col min="4354" max="4357" width="14.33203125" style="51" customWidth="1"/>
    <col min="4358" max="4608" width="9.109375" style="51"/>
    <col min="4609" max="4609" width="49.109375" style="51" customWidth="1"/>
    <col min="4610" max="4613" width="14.33203125" style="51" customWidth="1"/>
    <col min="4614" max="4864" width="9.109375" style="51"/>
    <col min="4865" max="4865" width="49.109375" style="51" customWidth="1"/>
    <col min="4866" max="4869" width="14.33203125" style="51" customWidth="1"/>
    <col min="4870" max="5120" width="9.109375" style="51"/>
    <col min="5121" max="5121" width="49.109375" style="51" customWidth="1"/>
    <col min="5122" max="5125" width="14.33203125" style="51" customWidth="1"/>
    <col min="5126" max="5376" width="9.109375" style="51"/>
    <col min="5377" max="5377" width="49.109375" style="51" customWidth="1"/>
    <col min="5378" max="5381" width="14.33203125" style="51" customWidth="1"/>
    <col min="5382" max="5632" width="9.109375" style="51"/>
    <col min="5633" max="5633" width="49.109375" style="51" customWidth="1"/>
    <col min="5634" max="5637" width="14.33203125" style="51" customWidth="1"/>
    <col min="5638" max="5888" width="9.109375" style="51"/>
    <col min="5889" max="5889" width="49.109375" style="51" customWidth="1"/>
    <col min="5890" max="5893" width="14.33203125" style="51" customWidth="1"/>
    <col min="5894" max="6144" width="9.109375" style="51"/>
    <col min="6145" max="6145" width="49.109375" style="51" customWidth="1"/>
    <col min="6146" max="6149" width="14.33203125" style="51" customWidth="1"/>
    <col min="6150" max="6400" width="9.109375" style="51"/>
    <col min="6401" max="6401" width="49.109375" style="51" customWidth="1"/>
    <col min="6402" max="6405" width="14.33203125" style="51" customWidth="1"/>
    <col min="6406" max="6656" width="9.109375" style="51"/>
    <col min="6657" max="6657" width="49.109375" style="51" customWidth="1"/>
    <col min="6658" max="6661" width="14.33203125" style="51" customWidth="1"/>
    <col min="6662" max="6912" width="9.109375" style="51"/>
    <col min="6913" max="6913" width="49.109375" style="51" customWidth="1"/>
    <col min="6914" max="6917" width="14.33203125" style="51" customWidth="1"/>
    <col min="6918" max="7168" width="9.109375" style="51"/>
    <col min="7169" max="7169" width="49.109375" style="51" customWidth="1"/>
    <col min="7170" max="7173" width="14.33203125" style="51" customWidth="1"/>
    <col min="7174" max="7424" width="9.109375" style="51"/>
    <col min="7425" max="7425" width="49.109375" style="51" customWidth="1"/>
    <col min="7426" max="7429" width="14.33203125" style="51" customWidth="1"/>
    <col min="7430" max="7680" width="9.109375" style="51"/>
    <col min="7681" max="7681" width="49.109375" style="51" customWidth="1"/>
    <col min="7682" max="7685" width="14.33203125" style="51" customWidth="1"/>
    <col min="7686" max="7936" width="9.109375" style="51"/>
    <col min="7937" max="7937" width="49.109375" style="51" customWidth="1"/>
    <col min="7938" max="7941" width="14.33203125" style="51" customWidth="1"/>
    <col min="7942" max="8192" width="9.109375" style="51"/>
    <col min="8193" max="8193" width="49.109375" style="51" customWidth="1"/>
    <col min="8194" max="8197" width="14.33203125" style="51" customWidth="1"/>
    <col min="8198" max="8448" width="9.109375" style="51"/>
    <col min="8449" max="8449" width="49.109375" style="51" customWidth="1"/>
    <col min="8450" max="8453" width="14.33203125" style="51" customWidth="1"/>
    <col min="8454" max="8704" width="9.109375" style="51"/>
    <col min="8705" max="8705" width="49.109375" style="51" customWidth="1"/>
    <col min="8706" max="8709" width="14.33203125" style="51" customWidth="1"/>
    <col min="8710" max="8960" width="9.109375" style="51"/>
    <col min="8961" max="8961" width="49.109375" style="51" customWidth="1"/>
    <col min="8962" max="8965" width="14.33203125" style="51" customWidth="1"/>
    <col min="8966" max="9216" width="9.109375" style="51"/>
    <col min="9217" max="9217" width="49.109375" style="51" customWidth="1"/>
    <col min="9218" max="9221" width="14.33203125" style="51" customWidth="1"/>
    <col min="9222" max="9472" width="9.109375" style="51"/>
    <col min="9473" max="9473" width="49.109375" style="51" customWidth="1"/>
    <col min="9474" max="9477" width="14.33203125" style="51" customWidth="1"/>
    <col min="9478" max="9728" width="9.109375" style="51"/>
    <col min="9729" max="9729" width="49.109375" style="51" customWidth="1"/>
    <col min="9730" max="9733" width="14.33203125" style="51" customWidth="1"/>
    <col min="9734" max="9984" width="9.109375" style="51"/>
    <col min="9985" max="9985" width="49.109375" style="51" customWidth="1"/>
    <col min="9986" max="9989" width="14.33203125" style="51" customWidth="1"/>
    <col min="9990" max="10240" width="9.109375" style="51"/>
    <col min="10241" max="10241" width="49.109375" style="51" customWidth="1"/>
    <col min="10242" max="10245" width="14.33203125" style="51" customWidth="1"/>
    <col min="10246" max="10496" width="9.109375" style="51"/>
    <col min="10497" max="10497" width="49.109375" style="51" customWidth="1"/>
    <col min="10498" max="10501" width="14.33203125" style="51" customWidth="1"/>
    <col min="10502" max="10752" width="9.109375" style="51"/>
    <col min="10753" max="10753" width="49.109375" style="51" customWidth="1"/>
    <col min="10754" max="10757" width="14.33203125" style="51" customWidth="1"/>
    <col min="10758" max="11008" width="9.109375" style="51"/>
    <col min="11009" max="11009" width="49.109375" style="51" customWidth="1"/>
    <col min="11010" max="11013" width="14.33203125" style="51" customWidth="1"/>
    <col min="11014" max="11264" width="9.109375" style="51"/>
    <col min="11265" max="11265" width="49.109375" style="51" customWidth="1"/>
    <col min="11266" max="11269" width="14.33203125" style="51" customWidth="1"/>
    <col min="11270" max="11520" width="9.109375" style="51"/>
    <col min="11521" max="11521" width="49.109375" style="51" customWidth="1"/>
    <col min="11522" max="11525" width="14.33203125" style="51" customWidth="1"/>
    <col min="11526" max="11776" width="9.109375" style="51"/>
    <col min="11777" max="11777" width="49.109375" style="51" customWidth="1"/>
    <col min="11778" max="11781" width="14.33203125" style="51" customWidth="1"/>
    <col min="11782" max="12032" width="9.109375" style="51"/>
    <col min="12033" max="12033" width="49.109375" style="51" customWidth="1"/>
    <col min="12034" max="12037" width="14.33203125" style="51" customWidth="1"/>
    <col min="12038" max="12288" width="9.109375" style="51"/>
    <col min="12289" max="12289" width="49.109375" style="51" customWidth="1"/>
    <col min="12290" max="12293" width="14.33203125" style="51" customWidth="1"/>
    <col min="12294" max="12544" width="9.109375" style="51"/>
    <col min="12545" max="12545" width="49.109375" style="51" customWidth="1"/>
    <col min="12546" max="12549" width="14.33203125" style="51" customWidth="1"/>
    <col min="12550" max="12800" width="9.109375" style="51"/>
    <col min="12801" max="12801" width="49.109375" style="51" customWidth="1"/>
    <col min="12802" max="12805" width="14.33203125" style="51" customWidth="1"/>
    <col min="12806" max="13056" width="9.109375" style="51"/>
    <col min="13057" max="13057" width="49.109375" style="51" customWidth="1"/>
    <col min="13058" max="13061" width="14.33203125" style="51" customWidth="1"/>
    <col min="13062" max="13312" width="9.109375" style="51"/>
    <col min="13313" max="13313" width="49.109375" style="51" customWidth="1"/>
    <col min="13314" max="13317" width="14.33203125" style="51" customWidth="1"/>
    <col min="13318" max="13568" width="9.109375" style="51"/>
    <col min="13569" max="13569" width="49.109375" style="51" customWidth="1"/>
    <col min="13570" max="13573" width="14.33203125" style="51" customWidth="1"/>
    <col min="13574" max="13824" width="9.109375" style="51"/>
    <col min="13825" max="13825" width="49.109375" style="51" customWidth="1"/>
    <col min="13826" max="13829" width="14.33203125" style="51" customWidth="1"/>
    <col min="13830" max="14080" width="9.109375" style="51"/>
    <col min="14081" max="14081" width="49.109375" style="51" customWidth="1"/>
    <col min="14082" max="14085" width="14.33203125" style="51" customWidth="1"/>
    <col min="14086" max="14336" width="9.109375" style="51"/>
    <col min="14337" max="14337" width="49.109375" style="51" customWidth="1"/>
    <col min="14338" max="14341" width="14.33203125" style="51" customWidth="1"/>
    <col min="14342" max="14592" width="9.109375" style="51"/>
    <col min="14593" max="14593" width="49.109375" style="51" customWidth="1"/>
    <col min="14594" max="14597" width="14.33203125" style="51" customWidth="1"/>
    <col min="14598" max="14848" width="9.109375" style="51"/>
    <col min="14849" max="14849" width="49.109375" style="51" customWidth="1"/>
    <col min="14850" max="14853" width="14.33203125" style="51" customWidth="1"/>
    <col min="14854" max="15104" width="9.109375" style="51"/>
    <col min="15105" max="15105" width="49.109375" style="51" customWidth="1"/>
    <col min="15106" max="15109" width="14.33203125" style="51" customWidth="1"/>
    <col min="15110" max="15360" width="9.109375" style="51"/>
    <col min="15361" max="15361" width="49.109375" style="51" customWidth="1"/>
    <col min="15362" max="15365" width="14.33203125" style="51" customWidth="1"/>
    <col min="15366" max="15616" width="9.109375" style="51"/>
    <col min="15617" max="15617" width="49.109375" style="51" customWidth="1"/>
    <col min="15618" max="15621" width="14.33203125" style="51" customWidth="1"/>
    <col min="15622" max="15872" width="9.109375" style="51"/>
    <col min="15873" max="15873" width="49.109375" style="51" customWidth="1"/>
    <col min="15874" max="15877" width="14.33203125" style="51" customWidth="1"/>
    <col min="15878" max="16128" width="9.109375" style="51"/>
    <col min="16129" max="16129" width="49.109375" style="51" customWidth="1"/>
    <col min="16130" max="16133" width="14.33203125" style="51" customWidth="1"/>
    <col min="16134" max="16384" width="9.109375" style="51"/>
  </cols>
  <sheetData>
    <row r="1" spans="1:5" ht="31.5" customHeight="1" thickBot="1" x14ac:dyDescent="0.35">
      <c r="A1" s="42" t="s">
        <v>24</v>
      </c>
      <c r="B1" s="42"/>
      <c r="C1" s="42"/>
      <c r="D1" s="42"/>
      <c r="E1" s="42"/>
    </row>
    <row r="2" spans="1:5" x14ac:dyDescent="0.3">
      <c r="A2" s="45"/>
      <c r="B2" s="110">
        <v>1997</v>
      </c>
      <c r="C2" s="111">
        <v>2002</v>
      </c>
      <c r="D2" s="110">
        <v>2007</v>
      </c>
      <c r="E2" s="46">
        <v>2012</v>
      </c>
    </row>
    <row r="3" spans="1:5" x14ac:dyDescent="0.3">
      <c r="B3" s="131" t="s">
        <v>92</v>
      </c>
      <c r="C3" s="132"/>
      <c r="D3" s="132"/>
      <c r="E3" s="51"/>
    </row>
    <row r="4" spans="1:5" x14ac:dyDescent="0.3">
      <c r="A4" s="69" t="s">
        <v>52</v>
      </c>
    </row>
    <row r="5" spans="1:5" x14ac:dyDescent="0.3">
      <c r="A5" s="44" t="s">
        <v>53</v>
      </c>
      <c r="B5" s="60">
        <v>83735</v>
      </c>
      <c r="C5" s="60">
        <v>8605</v>
      </c>
      <c r="D5" s="60">
        <v>91383</v>
      </c>
      <c r="E5" s="60">
        <v>10281</v>
      </c>
    </row>
    <row r="6" spans="1:5" x14ac:dyDescent="0.3">
      <c r="A6" s="44" t="s">
        <v>93</v>
      </c>
      <c r="B6" s="60">
        <f>36552+2079</f>
        <v>38631</v>
      </c>
      <c r="C6" s="60">
        <v>23033</v>
      </c>
      <c r="D6" s="60">
        <v>37248</v>
      </c>
      <c r="E6" s="60">
        <v>9376</v>
      </c>
    </row>
    <row r="7" spans="1:5" ht="17.399999999999999" x14ac:dyDescent="0.45">
      <c r="A7" s="44" t="s">
        <v>54</v>
      </c>
      <c r="B7" s="62">
        <v>4843</v>
      </c>
      <c r="C7" s="62">
        <v>2858</v>
      </c>
      <c r="D7" s="62">
        <v>1021</v>
      </c>
      <c r="E7" s="62">
        <v>1323</v>
      </c>
    </row>
    <row r="8" spans="1:5" ht="17.399999999999999" x14ac:dyDescent="0.45">
      <c r="A8" s="44" t="s">
        <v>58</v>
      </c>
      <c r="B8" s="105">
        <f>SUM(B5:B7)</f>
        <v>127209</v>
      </c>
      <c r="C8" s="105">
        <f>SUM(C5:C7)</f>
        <v>34496</v>
      </c>
      <c r="D8" s="105">
        <f>SUM(D5:D7)+1</f>
        <v>129653</v>
      </c>
      <c r="E8" s="105">
        <v>20981</v>
      </c>
    </row>
    <row r="9" spans="1:5" ht="30.75" customHeight="1" x14ac:dyDescent="0.3">
      <c r="A9" s="44" t="s">
        <v>59</v>
      </c>
      <c r="B9" s="60">
        <v>59251</v>
      </c>
      <c r="C9" s="60">
        <v>6257</v>
      </c>
      <c r="D9" s="60">
        <v>61568</v>
      </c>
      <c r="E9" s="60">
        <v>13607</v>
      </c>
    </row>
    <row r="10" spans="1:5" ht="17.399999999999999" x14ac:dyDescent="0.45">
      <c r="A10" s="44" t="s">
        <v>60</v>
      </c>
      <c r="B10" s="62">
        <v>11432</v>
      </c>
      <c r="C10" s="62">
        <v>8278</v>
      </c>
      <c r="D10" s="62">
        <f>18033+622</f>
        <v>18655</v>
      </c>
      <c r="E10" s="62">
        <v>2786</v>
      </c>
    </row>
    <row r="11" spans="1:5" x14ac:dyDescent="0.3">
      <c r="A11" s="44" t="s">
        <v>61</v>
      </c>
      <c r="B11" s="60">
        <f>SUM(B9:B10)</f>
        <v>70683</v>
      </c>
      <c r="C11" s="60">
        <f>SUM(C9:C10)</f>
        <v>14535</v>
      </c>
      <c r="D11" s="60">
        <f>SUM(D9:D10)</f>
        <v>80223</v>
      </c>
      <c r="E11" s="60">
        <v>16393</v>
      </c>
    </row>
    <row r="12" spans="1:5" ht="30" customHeight="1" x14ac:dyDescent="0.3">
      <c r="A12" s="44" t="s">
        <v>94</v>
      </c>
      <c r="B12" s="65">
        <v>56526</v>
      </c>
      <c r="C12" s="65">
        <v>19961</v>
      </c>
      <c r="D12" s="65">
        <v>49430</v>
      </c>
      <c r="E12" s="65">
        <v>4588</v>
      </c>
    </row>
    <row r="13" spans="1:5" ht="27" customHeight="1" x14ac:dyDescent="0.45">
      <c r="A13" s="44" t="s">
        <v>63</v>
      </c>
      <c r="B13" s="105">
        <f>B12+B11</f>
        <v>127209</v>
      </c>
      <c r="C13" s="105">
        <f>C12+C11</f>
        <v>34496</v>
      </c>
      <c r="D13" s="105">
        <f>D12+D11</f>
        <v>129653</v>
      </c>
      <c r="E13" s="105">
        <v>20981</v>
      </c>
    </row>
    <row r="14" spans="1:5" x14ac:dyDescent="0.3">
      <c r="D14" s="60"/>
      <c r="E14" s="60"/>
    </row>
    <row r="15" spans="1:5" x14ac:dyDescent="0.3">
      <c r="A15" s="69" t="s">
        <v>64</v>
      </c>
      <c r="D15" s="60"/>
      <c r="E15" s="60"/>
    </row>
    <row r="16" spans="1:5" x14ac:dyDescent="0.3">
      <c r="A16" s="44" t="s">
        <v>65</v>
      </c>
      <c r="B16" s="60">
        <v>292900</v>
      </c>
      <c r="C16" s="60">
        <v>62956</v>
      </c>
      <c r="D16" s="60">
        <v>501020</v>
      </c>
      <c r="E16" s="60">
        <v>84251</v>
      </c>
    </row>
    <row r="17" spans="1:5" x14ac:dyDescent="0.3">
      <c r="A17" s="44" t="s">
        <v>66</v>
      </c>
      <c r="B17" s="60">
        <v>9800</v>
      </c>
      <c r="C17" s="60">
        <v>11827</v>
      </c>
      <c r="D17" s="60">
        <v>2</v>
      </c>
      <c r="E17" s="60">
        <v>315</v>
      </c>
    </row>
    <row r="18" spans="1:5" x14ac:dyDescent="0.3">
      <c r="A18" s="44" t="s">
        <v>67</v>
      </c>
      <c r="B18" s="60">
        <v>900</v>
      </c>
      <c r="C18" s="60">
        <v>449</v>
      </c>
      <c r="D18" s="60">
        <f>472+285</f>
        <v>757</v>
      </c>
      <c r="E18" s="60">
        <v>711</v>
      </c>
    </row>
    <row r="19" spans="1:5" ht="17.399999999999999" x14ac:dyDescent="0.45">
      <c r="A19" s="44" t="s">
        <v>68</v>
      </c>
      <c r="B19" s="62">
        <v>400</v>
      </c>
      <c r="C19" s="62">
        <v>234</v>
      </c>
      <c r="D19" s="62">
        <v>10</v>
      </c>
      <c r="E19" s="62">
        <v>3</v>
      </c>
    </row>
    <row r="20" spans="1:5" ht="21" customHeight="1" x14ac:dyDescent="0.3">
      <c r="A20" s="44" t="s">
        <v>95</v>
      </c>
      <c r="B20" s="60">
        <f>SUM(B16:B19)</f>
        <v>304000</v>
      </c>
      <c r="C20" s="60">
        <f>SUM(C16:C19)</f>
        <v>75466</v>
      </c>
      <c r="D20" s="60">
        <f>SUM(D16:D19)</f>
        <v>501789</v>
      </c>
      <c r="E20" s="60">
        <v>85281</v>
      </c>
    </row>
    <row r="21" spans="1:5" ht="27.75" customHeight="1" x14ac:dyDescent="0.45">
      <c r="A21" s="45" t="s">
        <v>70</v>
      </c>
      <c r="B21" s="63">
        <v>291600</v>
      </c>
      <c r="C21" s="63">
        <f>C20-C22</f>
        <v>74376</v>
      </c>
      <c r="D21" s="63">
        <v>494967</v>
      </c>
      <c r="E21" s="63">
        <v>85273</v>
      </c>
    </row>
    <row r="22" spans="1:5" ht="30.75" customHeight="1" x14ac:dyDescent="0.45">
      <c r="A22" s="45" t="s">
        <v>89</v>
      </c>
      <c r="B22" s="107">
        <v>12400</v>
      </c>
      <c r="C22" s="107">
        <v>1090</v>
      </c>
      <c r="D22" s="107">
        <f>D20-D21</f>
        <v>6822</v>
      </c>
      <c r="E22" s="107">
        <v>8</v>
      </c>
    </row>
    <row r="23" spans="1:5" ht="43.5" customHeight="1" x14ac:dyDescent="0.3">
      <c r="A23" s="64" t="s">
        <v>42</v>
      </c>
      <c r="B23" s="65">
        <v>9</v>
      </c>
      <c r="C23" s="65">
        <v>4</v>
      </c>
      <c r="D23" s="64">
        <v>9</v>
      </c>
      <c r="E23" s="65">
        <v>4</v>
      </c>
    </row>
    <row r="24" spans="1:5" ht="29.25" customHeight="1" x14ac:dyDescent="0.3"/>
    <row r="25" spans="1:5" ht="16.2" thickBot="1" x14ac:dyDescent="0.35">
      <c r="A25" s="42" t="s">
        <v>25</v>
      </c>
      <c r="B25" s="42"/>
      <c r="C25" s="42"/>
      <c r="D25" s="42"/>
    </row>
    <row r="26" spans="1:5" x14ac:dyDescent="0.3">
      <c r="A26" s="45"/>
      <c r="B26" s="46">
        <v>1997</v>
      </c>
      <c r="C26" s="46">
        <v>2002</v>
      </c>
      <c r="D26" s="46">
        <v>2007</v>
      </c>
      <c r="E26" s="46">
        <v>2012</v>
      </c>
    </row>
    <row r="27" spans="1:5" ht="27" customHeight="1" x14ac:dyDescent="0.3">
      <c r="A27" s="69" t="s">
        <v>74</v>
      </c>
      <c r="B27" s="138" t="s">
        <v>75</v>
      </c>
      <c r="C27" s="132"/>
      <c r="D27" s="132"/>
      <c r="E27" s="51"/>
    </row>
    <row r="28" spans="1:5" x14ac:dyDescent="0.3">
      <c r="A28" s="44" t="s">
        <v>76</v>
      </c>
      <c r="B28" s="70">
        <f>B5/B9</f>
        <v>1.4132250932473713</v>
      </c>
      <c r="C28" s="70">
        <f>C5/C9</f>
        <v>1.3752597091257792</v>
      </c>
      <c r="D28" s="70">
        <f>D5/D9</f>
        <v>1.4842613045738047</v>
      </c>
      <c r="E28" s="70">
        <v>0.76</v>
      </c>
    </row>
    <row r="29" spans="1:5" x14ac:dyDescent="0.3">
      <c r="A29" s="44" t="s">
        <v>77</v>
      </c>
      <c r="B29" s="70">
        <f>B9/B8</f>
        <v>0.46577679252254167</v>
      </c>
      <c r="C29" s="70">
        <f>C9/C8</f>
        <v>0.18138334879406309</v>
      </c>
      <c r="D29" s="70">
        <f>D9/D8</f>
        <v>0.47486753102512091</v>
      </c>
      <c r="E29" s="70">
        <v>0.65</v>
      </c>
    </row>
    <row r="30" spans="1:5" x14ac:dyDescent="0.3">
      <c r="A30" s="44" t="s">
        <v>78</v>
      </c>
      <c r="B30" s="70">
        <f>B10/B12</f>
        <v>0.20224321551144606</v>
      </c>
      <c r="C30" s="70">
        <f>C10/C12</f>
        <v>0.41470868192976301</v>
      </c>
      <c r="D30" s="70">
        <f>D10/D12</f>
        <v>0.37740238721424235</v>
      </c>
      <c r="E30" s="70">
        <v>0.61</v>
      </c>
    </row>
    <row r="31" spans="1:5" x14ac:dyDescent="0.3">
      <c r="A31" s="44" t="s">
        <v>79</v>
      </c>
      <c r="B31" s="70">
        <f>B11/B8</f>
        <v>0.55564464778435485</v>
      </c>
      <c r="C31" s="70">
        <f>C11/C8</f>
        <v>0.4213532003710575</v>
      </c>
      <c r="D31" s="70">
        <f>D11/D8</f>
        <v>0.61875159078463282</v>
      </c>
      <c r="E31" s="70">
        <v>0.78</v>
      </c>
    </row>
    <row r="32" spans="1:5" x14ac:dyDescent="0.3">
      <c r="A32" s="44" t="s">
        <v>80</v>
      </c>
      <c r="B32" s="70">
        <f>B12/(B6+B7)</f>
        <v>1.3002254220913649</v>
      </c>
      <c r="C32" s="70">
        <f>C12/(C6+C7)</f>
        <v>0.77096288285504611</v>
      </c>
      <c r="D32" s="70">
        <f>D12/(D6+D7)</f>
        <v>1.2916459797747524</v>
      </c>
      <c r="E32" s="70">
        <v>0.43</v>
      </c>
    </row>
    <row r="33" spans="1:5" x14ac:dyDescent="0.3">
      <c r="A33" s="44" t="s">
        <v>81</v>
      </c>
      <c r="B33" s="70">
        <f>B12/B8</f>
        <v>0.44435535221564509</v>
      </c>
      <c r="C33" s="70">
        <f>C12/C8</f>
        <v>0.5786467996289425</v>
      </c>
      <c r="D33" s="70">
        <f>D12/D8</f>
        <v>0.38124840921536718</v>
      </c>
      <c r="E33" s="70">
        <v>0.22</v>
      </c>
    </row>
    <row r="34" spans="1:5" ht="33" customHeight="1" x14ac:dyDescent="0.3">
      <c r="A34" s="69" t="s">
        <v>82</v>
      </c>
      <c r="B34" s="136" t="s">
        <v>91</v>
      </c>
      <c r="C34" s="137"/>
      <c r="D34" s="137"/>
      <c r="E34" s="51"/>
    </row>
    <row r="35" spans="1:5" x14ac:dyDescent="0.3">
      <c r="A35" s="44" t="s">
        <v>84</v>
      </c>
      <c r="B35" s="71">
        <f>B22/B12*100</f>
        <v>21.936807840639705</v>
      </c>
      <c r="C35" s="71">
        <f>C22/C12*100</f>
        <v>5.460648264115024</v>
      </c>
      <c r="D35" s="71">
        <f>D22/D12*100</f>
        <v>13.80133522152539</v>
      </c>
      <c r="E35" s="112">
        <v>0.2</v>
      </c>
    </row>
    <row r="36" spans="1:5" x14ac:dyDescent="0.3">
      <c r="A36" s="44" t="s">
        <v>85</v>
      </c>
      <c r="B36" s="71">
        <f>B22/B8*100</f>
        <v>9.7477379745143828</v>
      </c>
      <c r="C36" s="71">
        <f>C22/C8*100</f>
        <v>3.1597866419294989</v>
      </c>
      <c r="D36" s="71">
        <f>D22/D8*100</f>
        <v>5.2617370982545717</v>
      </c>
      <c r="E36" s="112">
        <v>0</v>
      </c>
    </row>
    <row r="37" spans="1:5" x14ac:dyDescent="0.3">
      <c r="A37" s="45" t="s">
        <v>86</v>
      </c>
      <c r="B37" s="72">
        <f>B22/B20*100</f>
        <v>4.0789473684210531</v>
      </c>
      <c r="C37" s="72">
        <f>C22/C20*100</f>
        <v>1.4443590491082077</v>
      </c>
      <c r="D37" s="72">
        <f>D22/D20*100</f>
        <v>1.3595355816887178</v>
      </c>
      <c r="E37" s="113">
        <v>0</v>
      </c>
    </row>
    <row r="38" spans="1:5" ht="33" customHeight="1" thickBot="1" x14ac:dyDescent="0.35">
      <c r="A38" s="42" t="s">
        <v>42</v>
      </c>
      <c r="B38" s="43">
        <v>9</v>
      </c>
      <c r="C38" s="43">
        <v>4</v>
      </c>
      <c r="D38" s="42">
        <v>9</v>
      </c>
      <c r="E38" s="42">
        <v>4</v>
      </c>
    </row>
  </sheetData>
  <mergeCells count="3">
    <mergeCell ref="B3:D3"/>
    <mergeCell ref="B27:D27"/>
    <mergeCell ref="B34:D34"/>
  </mergeCells>
  <pageMargins left="0.75" right="0.75" top="0.97" bottom="0.27" header="0.24" footer="0.5"/>
  <pageSetup orientation="landscape"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Table of Contents</vt:lpstr>
      <vt:lpstr>Definitions</vt:lpstr>
      <vt:lpstr>Notes</vt:lpstr>
      <vt:lpstr>Table 1</vt:lpstr>
      <vt:lpstr>Table 2</vt:lpstr>
      <vt:lpstr>Tables 3 &amp; 3a</vt:lpstr>
      <vt:lpstr>Tables 4 &amp; 4a</vt:lpstr>
      <vt:lpstr>Tables 5 &amp; 5a</vt:lpstr>
      <vt:lpstr>Tables 6 &amp; 6a</vt:lpstr>
      <vt:lpstr>Tables 7 &amp; 7a</vt:lpstr>
      <vt:lpstr>'Tables 3 &amp; 3a'!Print_Titles</vt:lpstr>
      <vt:lpstr>'Tables 4 &amp; 4a'!Print_Titles</vt:lpstr>
      <vt:lpstr>'Tables 5 &amp; 5a'!Print_Titles</vt:lpstr>
      <vt:lpstr>'Tables 7 &amp; 7a'!Print_Titles</vt:lpstr>
    </vt:vector>
  </TitlesOfParts>
  <Company>Booz Allen Hamilton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Garofalo, Matthew</dc:creator>
  <cp:lastModifiedBy>Hur, Susan [USA]</cp:lastModifiedBy>
  <dcterms:created xsi:type="dcterms:W3CDTF">2015-01-20T22:19:46Z</dcterms:created>
  <dcterms:modified xsi:type="dcterms:W3CDTF">2015-01-28T23:42:52Z</dcterms:modified>
</cp:coreProperties>
</file>